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gse\Documents\TK\TESIS PhD K0 KA KP\K0 Thesis Appendices\"/>
    </mc:Choice>
  </mc:AlternateContent>
  <xr:revisionPtr revIDLastSave="0" documentId="8_{0ECE0504-49E8-412F-BC3F-CA74452B9CF6}" xr6:coauthVersionLast="47" xr6:coauthVersionMax="47" xr10:uidLastSave="{00000000-0000-0000-0000-000000000000}"/>
  <bookViews>
    <workbookView xWindow="-120" yWindow="-120" windowWidth="20730" windowHeight="11160" firstSheet="1" activeTab="1" xr2:uid="{AADD5810-164D-4971-B480-FA6662B03860}"/>
  </bookViews>
  <sheets>
    <sheet name="_xltb_storage_" sheetId="2" state="veryHidden" r:id="rId1"/>
    <sheet name="Sheet1" sheetId="1" r:id="rId2"/>
  </sheets>
  <definedNames>
    <definedName name="solver_adj" localSheetId="1" hidden="1">Sheet1!$P$60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Sheet1!$Q$28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Sheet1!$O$60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hs1" localSheetId="1" hidden="1">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8" i="1" l="1"/>
  <c r="L18" i="1"/>
  <c r="L19" i="1"/>
  <c r="L17" i="1"/>
  <c r="L16" i="1"/>
  <c r="Z29" i="1"/>
  <c r="Z30" i="1"/>
  <c r="Z31" i="1"/>
  <c r="Z32" i="1"/>
  <c r="Z33" i="1"/>
  <c r="T29" i="1"/>
  <c r="T30" i="1"/>
  <c r="T31" i="1"/>
  <c r="T32" i="1"/>
  <c r="T33" i="1"/>
  <c r="S29" i="1"/>
  <c r="S30" i="1"/>
  <c r="S31" i="1"/>
  <c r="S32" i="1"/>
  <c r="S33" i="1"/>
  <c r="S28" i="1"/>
  <c r="L58" i="1" l="1"/>
  <c r="S58" i="1" s="1"/>
  <c r="L59" i="1"/>
  <c r="S59" i="1" s="1"/>
  <c r="L60" i="1"/>
  <c r="L61" i="1"/>
  <c r="L62" i="1"/>
  <c r="S62" i="1" s="1"/>
  <c r="L57" i="1"/>
  <c r="S57" i="1" s="1"/>
  <c r="Q62" i="1"/>
  <c r="H62" i="1"/>
  <c r="G62" i="1"/>
  <c r="F62" i="1"/>
  <c r="Q61" i="1"/>
  <c r="H61" i="1"/>
  <c r="G61" i="1"/>
  <c r="F61" i="1"/>
  <c r="Q60" i="1"/>
  <c r="H60" i="1"/>
  <c r="G60" i="1"/>
  <c r="F60" i="1"/>
  <c r="Q59" i="1"/>
  <c r="H59" i="1"/>
  <c r="G59" i="1"/>
  <c r="F59" i="1"/>
  <c r="Q58" i="1"/>
  <c r="H58" i="1"/>
  <c r="G58" i="1"/>
  <c r="F58" i="1"/>
  <c r="Q57" i="1"/>
  <c r="H57" i="1"/>
  <c r="G57" i="1"/>
  <c r="F57" i="1"/>
  <c r="R17" i="1"/>
  <c r="R18" i="1"/>
  <c r="R19" i="1"/>
  <c r="Q17" i="1"/>
  <c r="Q18" i="1"/>
  <c r="K60" i="1" s="1"/>
  <c r="Q19" i="1"/>
  <c r="N17" i="1"/>
  <c r="N18" i="1"/>
  <c r="N19" i="1"/>
  <c r="G17" i="1"/>
  <c r="G18" i="1"/>
  <c r="G19" i="1"/>
  <c r="E18" i="1"/>
  <c r="F18" i="1" s="1"/>
  <c r="S18" i="1" s="1"/>
  <c r="E19" i="1"/>
  <c r="E16" i="1"/>
  <c r="E17" i="1"/>
  <c r="F17" i="1" s="1"/>
  <c r="S17" i="1" s="1"/>
  <c r="N16" i="1"/>
  <c r="S61" i="1" l="1"/>
  <c r="T61" i="1" s="1"/>
  <c r="S60" i="1"/>
  <c r="T60" i="1" s="1"/>
  <c r="T57" i="1"/>
  <c r="T59" i="1"/>
  <c r="T62" i="1"/>
  <c r="T58" i="1"/>
  <c r="M57" i="1"/>
  <c r="M58" i="1"/>
  <c r="M61" i="1"/>
  <c r="M59" i="1"/>
  <c r="M62" i="1"/>
  <c r="M60" i="1"/>
  <c r="K57" i="1"/>
  <c r="K59" i="1"/>
  <c r="K62" i="1"/>
  <c r="K58" i="1"/>
  <c r="K61" i="1"/>
  <c r="R58" i="1"/>
  <c r="R61" i="1"/>
  <c r="R60" i="1"/>
  <c r="R57" i="1"/>
  <c r="R59" i="1"/>
  <c r="R62" i="1"/>
  <c r="Q63" i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H19" i="1"/>
  <c r="M19" i="1" s="1"/>
  <c r="F19" i="1"/>
  <c r="S19" i="1" s="1"/>
  <c r="H17" i="1"/>
  <c r="H18" i="1"/>
  <c r="M18" i="1" s="1"/>
  <c r="N61" i="1" s="1"/>
  <c r="U60" i="1" l="1"/>
  <c r="V60" i="1" s="1"/>
  <c r="W60" i="1"/>
  <c r="X60" i="1" s="1"/>
  <c r="Z60" i="1" s="1"/>
  <c r="W61" i="1"/>
  <c r="X61" i="1" s="1"/>
  <c r="U61" i="1"/>
  <c r="V61" i="1" s="1"/>
  <c r="W58" i="1"/>
  <c r="X58" i="1" s="1"/>
  <c r="Z58" i="1" s="1"/>
  <c r="U58" i="1"/>
  <c r="V58" i="1" s="1"/>
  <c r="W57" i="1"/>
  <c r="X57" i="1" s="1"/>
  <c r="Z57" i="1" s="1"/>
  <c r="U57" i="1"/>
  <c r="V57" i="1" s="1"/>
  <c r="U59" i="1"/>
  <c r="V59" i="1" s="1"/>
  <c r="W59" i="1"/>
  <c r="X59" i="1" s="1"/>
  <c r="Z59" i="1" s="1"/>
  <c r="W62" i="1"/>
  <c r="X62" i="1" s="1"/>
  <c r="Z62" i="1" s="1"/>
  <c r="U62" i="1"/>
  <c r="V62" i="1" s="1"/>
  <c r="N57" i="1"/>
  <c r="N59" i="1"/>
  <c r="O59" i="1" s="1"/>
  <c r="N58" i="1"/>
  <c r="O58" i="1" s="1"/>
  <c r="N60" i="1"/>
  <c r="O60" i="1" s="1"/>
  <c r="N62" i="1"/>
  <c r="O62" i="1" s="1"/>
  <c r="O57" i="1"/>
  <c r="O61" i="1"/>
  <c r="I19" i="1"/>
  <c r="J19" i="1" s="1"/>
  <c r="K19" i="1" s="1"/>
  <c r="O19" i="1" s="1"/>
  <c r="M17" i="1"/>
  <c r="I17" i="1"/>
  <c r="J17" i="1" s="1"/>
  <c r="K17" i="1" s="1"/>
  <c r="O17" i="1" s="1"/>
  <c r="I18" i="1"/>
  <c r="J18" i="1" s="1"/>
  <c r="K18" i="1" s="1"/>
  <c r="O18" i="1" s="1"/>
  <c r="Z61" i="1" l="1"/>
  <c r="Y61" i="1"/>
  <c r="Y60" i="1"/>
  <c r="Y62" i="1"/>
  <c r="Y57" i="1"/>
  <c r="Y59" i="1"/>
  <c r="Y58" i="1"/>
  <c r="Q72" i="1"/>
  <c r="Q73" i="1"/>
  <c r="Q74" i="1"/>
  <c r="Q75" i="1"/>
  <c r="Q71" i="1"/>
  <c r="Q43" i="1"/>
  <c r="Q44" i="1"/>
  <c r="Q45" i="1"/>
  <c r="Q46" i="1"/>
  <c r="Q47" i="1"/>
  <c r="Q48" i="1"/>
  <c r="Q42" i="1"/>
  <c r="F72" i="1"/>
  <c r="G72" i="1"/>
  <c r="H72" i="1"/>
  <c r="K72" i="1"/>
  <c r="L72" i="1"/>
  <c r="S72" i="1" l="1"/>
  <c r="T72" i="1" s="1"/>
  <c r="M72" i="1"/>
  <c r="I72" i="1"/>
  <c r="J72" i="1" s="1"/>
  <c r="U72" i="1" l="1"/>
  <c r="V72" i="1" s="1"/>
  <c r="W72" i="1"/>
  <c r="X72" i="1" s="1"/>
  <c r="Z72" i="1" s="1"/>
  <c r="Y72" i="1"/>
  <c r="R63" i="1"/>
  <c r="M29" i="1"/>
  <c r="M30" i="1"/>
  <c r="M31" i="1"/>
  <c r="M32" i="1"/>
  <c r="M33" i="1"/>
  <c r="L73" i="1"/>
  <c r="L74" i="1"/>
  <c r="L75" i="1"/>
  <c r="L71" i="1"/>
  <c r="K73" i="1"/>
  <c r="K74" i="1"/>
  <c r="K75" i="1"/>
  <c r="K71" i="1"/>
  <c r="H73" i="1"/>
  <c r="H74" i="1"/>
  <c r="H75" i="1"/>
  <c r="H71" i="1"/>
  <c r="G73" i="1"/>
  <c r="G74" i="1"/>
  <c r="G75" i="1"/>
  <c r="G71" i="1"/>
  <c r="F73" i="1"/>
  <c r="F74" i="1"/>
  <c r="F75" i="1"/>
  <c r="F71" i="1"/>
  <c r="L43" i="1"/>
  <c r="L44" i="1"/>
  <c r="L45" i="1"/>
  <c r="L46" i="1"/>
  <c r="L47" i="1"/>
  <c r="L48" i="1"/>
  <c r="L42" i="1"/>
  <c r="S42" i="1" s="1"/>
  <c r="T42" i="1" s="1"/>
  <c r="K43" i="1"/>
  <c r="K44" i="1"/>
  <c r="K45" i="1"/>
  <c r="K46" i="1"/>
  <c r="K47" i="1"/>
  <c r="K48" i="1"/>
  <c r="K42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M28" i="1"/>
  <c r="K29" i="1"/>
  <c r="K30" i="1"/>
  <c r="K31" i="1"/>
  <c r="K32" i="1"/>
  <c r="R32" i="1" s="1"/>
  <c r="K33" i="1"/>
  <c r="K28" i="1"/>
  <c r="H29" i="1"/>
  <c r="H30" i="1"/>
  <c r="H31" i="1"/>
  <c r="H32" i="1"/>
  <c r="H33" i="1"/>
  <c r="G29" i="1"/>
  <c r="G30" i="1"/>
  <c r="G31" i="1"/>
  <c r="G32" i="1"/>
  <c r="G33" i="1"/>
  <c r="F33" i="1"/>
  <c r="F32" i="1"/>
  <c r="F31" i="1"/>
  <c r="F30" i="1"/>
  <c r="F29" i="1"/>
  <c r="H28" i="1"/>
  <c r="G28" i="1"/>
  <c r="F28" i="1"/>
  <c r="R16" i="1"/>
  <c r="Q16" i="1"/>
  <c r="L30" i="1" s="1"/>
  <c r="G16" i="1"/>
  <c r="H16" i="1" s="1"/>
  <c r="F16" i="1"/>
  <c r="S16" i="1" s="1"/>
  <c r="S75" i="1" l="1"/>
  <c r="T75" i="1" s="1"/>
  <c r="S73" i="1"/>
  <c r="T73" i="1" s="1"/>
  <c r="S74" i="1"/>
  <c r="T74" i="1" s="1"/>
  <c r="S71" i="1"/>
  <c r="T71" i="1" s="1"/>
  <c r="S47" i="1"/>
  <c r="T47" i="1" s="1"/>
  <c r="S43" i="1"/>
  <c r="T43" i="1" s="1"/>
  <c r="S46" i="1"/>
  <c r="T46" i="1" s="1"/>
  <c r="S45" i="1"/>
  <c r="T45" i="1" s="1"/>
  <c r="S48" i="1"/>
  <c r="T48" i="1" s="1"/>
  <c r="S44" i="1"/>
  <c r="T44" i="1" s="1"/>
  <c r="M71" i="1"/>
  <c r="M48" i="1"/>
  <c r="M44" i="1"/>
  <c r="M74" i="1"/>
  <c r="M46" i="1"/>
  <c r="U29" i="1"/>
  <c r="V29" i="1" s="1"/>
  <c r="W29" i="1"/>
  <c r="X29" i="1" s="1"/>
  <c r="Y29" i="1" s="1"/>
  <c r="M42" i="1"/>
  <c r="N42" i="1" s="1"/>
  <c r="M45" i="1"/>
  <c r="M75" i="1"/>
  <c r="M47" i="1"/>
  <c r="M43" i="1"/>
  <c r="M73" i="1"/>
  <c r="N31" i="1"/>
  <c r="N30" i="1"/>
  <c r="N33" i="1"/>
  <c r="N32" i="1"/>
  <c r="N28" i="1"/>
  <c r="I16" i="1"/>
  <c r="J16" i="1" s="1"/>
  <c r="K16" i="1" s="1"/>
  <c r="R72" i="1"/>
  <c r="I73" i="1"/>
  <c r="J73" i="1" s="1"/>
  <c r="I74" i="1"/>
  <c r="J74" i="1" s="1"/>
  <c r="R71" i="1"/>
  <c r="I75" i="1"/>
  <c r="J75" i="1" s="1"/>
  <c r="R75" i="1"/>
  <c r="R74" i="1"/>
  <c r="R73" i="1"/>
  <c r="L32" i="1"/>
  <c r="L33" i="1"/>
  <c r="L31" i="1"/>
  <c r="L29" i="1"/>
  <c r="R44" i="1"/>
  <c r="R47" i="1"/>
  <c r="R43" i="1"/>
  <c r="R46" i="1"/>
  <c r="R42" i="1"/>
  <c r="R45" i="1"/>
  <c r="R48" i="1"/>
  <c r="Q76" i="1"/>
  <c r="I71" i="1"/>
  <c r="J71" i="1" s="1"/>
  <c r="I29" i="1"/>
  <c r="J29" i="1" s="1"/>
  <c r="Q49" i="1"/>
  <c r="I48" i="1"/>
  <c r="J48" i="1" s="1"/>
  <c r="I45" i="1"/>
  <c r="J45" i="1" s="1"/>
  <c r="I44" i="1"/>
  <c r="J44" i="1" s="1"/>
  <c r="L28" i="1"/>
  <c r="I43" i="1"/>
  <c r="J43" i="1" s="1"/>
  <c r="I42" i="1"/>
  <c r="J42" i="1" s="1"/>
  <c r="I47" i="1"/>
  <c r="J47" i="1" s="1"/>
  <c r="I46" i="1"/>
  <c r="J46" i="1" s="1"/>
  <c r="N29" i="1"/>
  <c r="I33" i="1"/>
  <c r="J33" i="1" s="1"/>
  <c r="R30" i="1"/>
  <c r="I31" i="1"/>
  <c r="J31" i="1" s="1"/>
  <c r="I30" i="1"/>
  <c r="J30" i="1" s="1"/>
  <c r="R28" i="1"/>
  <c r="R33" i="1"/>
  <c r="R29" i="1"/>
  <c r="I28" i="1"/>
  <c r="J28" i="1" s="1"/>
  <c r="R31" i="1"/>
  <c r="I32" i="1"/>
  <c r="J32" i="1" s="1"/>
  <c r="O16" i="1"/>
  <c r="W74" i="1" l="1"/>
  <c r="X74" i="1" s="1"/>
  <c r="Z74" i="1" s="1"/>
  <c r="U74" i="1"/>
  <c r="V74" i="1" s="1"/>
  <c r="U73" i="1"/>
  <c r="V73" i="1" s="1"/>
  <c r="W73" i="1"/>
  <c r="X73" i="1" s="1"/>
  <c r="Z73" i="1" s="1"/>
  <c r="W71" i="1"/>
  <c r="X71" i="1" s="1"/>
  <c r="Z71" i="1" s="1"/>
  <c r="U71" i="1"/>
  <c r="V71" i="1" s="1"/>
  <c r="U75" i="1"/>
  <c r="V75" i="1" s="1"/>
  <c r="W75" i="1"/>
  <c r="X75" i="1" s="1"/>
  <c r="Z75" i="1" s="1"/>
  <c r="W44" i="1"/>
  <c r="U44" i="1"/>
  <c r="V44" i="1" s="1"/>
  <c r="W47" i="1"/>
  <c r="U47" i="1"/>
  <c r="V47" i="1" s="1"/>
  <c r="W45" i="1"/>
  <c r="X45" i="1" s="1"/>
  <c r="Z45" i="1" s="1"/>
  <c r="U45" i="1"/>
  <c r="V45" i="1" s="1"/>
  <c r="W43" i="1"/>
  <c r="U43" i="1"/>
  <c r="V43" i="1" s="1"/>
  <c r="W48" i="1"/>
  <c r="U48" i="1"/>
  <c r="V48" i="1" s="1"/>
  <c r="U46" i="1"/>
  <c r="V46" i="1" s="1"/>
  <c r="W46" i="1"/>
  <c r="Y74" i="1"/>
  <c r="Y71" i="1"/>
  <c r="U32" i="1"/>
  <c r="V32" i="1" s="1"/>
  <c r="W32" i="1"/>
  <c r="X32" i="1" s="1"/>
  <c r="Y32" i="1" s="1"/>
  <c r="U28" i="1"/>
  <c r="V28" i="1" s="1"/>
  <c r="W28" i="1"/>
  <c r="X28" i="1" s="1"/>
  <c r="Y28" i="1" s="1"/>
  <c r="Z28" i="1" s="1"/>
  <c r="U33" i="1"/>
  <c r="V33" i="1" s="1"/>
  <c r="W33" i="1"/>
  <c r="X33" i="1" s="1"/>
  <c r="Y33" i="1" s="1"/>
  <c r="U31" i="1"/>
  <c r="V31" i="1" s="1"/>
  <c r="W31" i="1"/>
  <c r="X31" i="1" s="1"/>
  <c r="Y31" i="1" s="1"/>
  <c r="X43" i="1"/>
  <c r="Z43" i="1" s="1"/>
  <c r="W42" i="1"/>
  <c r="X42" i="1" s="1"/>
  <c r="Z42" i="1" s="1"/>
  <c r="U42" i="1"/>
  <c r="V42" i="1" s="1"/>
  <c r="X46" i="1"/>
  <c r="Z46" i="1" s="1"/>
  <c r="X44" i="1"/>
  <c r="Z44" i="1" s="1"/>
  <c r="U30" i="1"/>
  <c r="V30" i="1" s="1"/>
  <c r="W30" i="1"/>
  <c r="X30" i="1" s="1"/>
  <c r="Y30" i="1" s="1"/>
  <c r="X47" i="1"/>
  <c r="Z47" i="1" s="1"/>
  <c r="X48" i="1"/>
  <c r="Z48" i="1" s="1"/>
  <c r="M16" i="1"/>
  <c r="O33" i="1" s="1"/>
  <c r="P33" i="1" s="1"/>
  <c r="N72" i="1"/>
  <c r="O72" i="1" s="1"/>
  <c r="N44" i="1"/>
  <c r="O44" i="1" s="1"/>
  <c r="N47" i="1"/>
  <c r="O47" i="1" s="1"/>
  <c r="N48" i="1"/>
  <c r="O48" i="1" s="1"/>
  <c r="N74" i="1"/>
  <c r="O74" i="1" s="1"/>
  <c r="R76" i="1"/>
  <c r="N46" i="1"/>
  <c r="O46" i="1" s="1"/>
  <c r="N45" i="1"/>
  <c r="O45" i="1" s="1"/>
  <c r="N75" i="1"/>
  <c r="O75" i="1" s="1"/>
  <c r="N43" i="1"/>
  <c r="O43" i="1" s="1"/>
  <c r="R34" i="1"/>
  <c r="R49" i="1"/>
  <c r="O42" i="1"/>
  <c r="Y75" i="1" l="1"/>
  <c r="Y73" i="1"/>
  <c r="Y44" i="1"/>
  <c r="Y46" i="1"/>
  <c r="Y43" i="1"/>
  <c r="Y48" i="1"/>
  <c r="Y47" i="1"/>
  <c r="Y45" i="1"/>
  <c r="Y42" i="1"/>
  <c r="O32" i="1"/>
  <c r="P32" i="1" s="1"/>
  <c r="O30" i="1"/>
  <c r="P30" i="1" s="1"/>
  <c r="O29" i="1"/>
  <c r="P29" i="1" s="1"/>
  <c r="O31" i="1"/>
  <c r="P31" i="1" s="1"/>
  <c r="O28" i="1"/>
  <c r="P28" i="1" s="1"/>
  <c r="N71" i="1"/>
  <c r="O71" i="1" s="1"/>
  <c r="N73" i="1"/>
  <c r="O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Rosales</author>
  </authors>
  <commentList>
    <comment ref="A25" authorId="0" shapeId="0" xr:uid="{E2818022-CC79-444C-A3F0-B6432A2FC159}">
      <text>
        <r>
          <rPr>
            <b/>
            <sz val="9"/>
            <color indexed="81"/>
            <rFont val="Tahoma"/>
            <family val="2"/>
          </rPr>
          <t>Sergio Rosales:</t>
        </r>
        <r>
          <rPr>
            <sz val="9"/>
            <color indexed="81"/>
            <rFont val="Tahoma"/>
            <family val="2"/>
          </rPr>
          <t xml:space="preserve">
step = 0 : loading
step &gt; 0 : unloading</t>
        </r>
      </text>
    </comment>
    <comment ref="A39" authorId="0" shapeId="0" xr:uid="{3C4347DE-1D93-4BEF-A9B7-2BC6686B4FBC}">
      <text>
        <r>
          <rPr>
            <b/>
            <sz val="9"/>
            <color indexed="81"/>
            <rFont val="Tahoma"/>
            <family val="2"/>
          </rPr>
          <t>Sergio Rosales:</t>
        </r>
        <r>
          <rPr>
            <sz val="9"/>
            <color indexed="81"/>
            <rFont val="Tahoma"/>
            <family val="2"/>
          </rPr>
          <t xml:space="preserve">
step = 0 : loading
step &gt; 0 : unloading</t>
        </r>
      </text>
    </comment>
    <comment ref="A54" authorId="0" shapeId="0" xr:uid="{E27EC99F-DD6B-4772-B07F-6DB05C8A8884}">
      <text>
        <r>
          <rPr>
            <b/>
            <sz val="9"/>
            <color indexed="81"/>
            <rFont val="Tahoma"/>
            <family val="2"/>
          </rPr>
          <t>Sergio Rosales:</t>
        </r>
        <r>
          <rPr>
            <sz val="9"/>
            <color indexed="81"/>
            <rFont val="Tahoma"/>
            <family val="2"/>
          </rPr>
          <t xml:space="preserve">
step = 0 : loading
step &gt; 0 : unloading</t>
        </r>
      </text>
    </comment>
    <comment ref="A68" authorId="0" shapeId="0" xr:uid="{5C6F0AD9-F0AD-41EE-A983-C83FFDADDC44}">
      <text>
        <r>
          <rPr>
            <b/>
            <sz val="9"/>
            <color indexed="81"/>
            <rFont val="Tahoma"/>
            <family val="2"/>
          </rPr>
          <t>Sergio Rosales:</t>
        </r>
        <r>
          <rPr>
            <sz val="9"/>
            <color indexed="81"/>
            <rFont val="Tahoma"/>
            <family val="2"/>
          </rPr>
          <t xml:space="preserve">
step = 0 : loading
step &gt; 0 : unloading</t>
        </r>
      </text>
    </comment>
  </commentList>
</comments>
</file>

<file path=xl/sharedStrings.xml><?xml version="1.0" encoding="utf-8"?>
<sst xmlns="http://schemas.openxmlformats.org/spreadsheetml/2006/main" count="304" uniqueCount="101">
  <si>
    <t>Energy</t>
  </si>
  <si>
    <t>Weight</t>
  </si>
  <si>
    <t>Height</t>
  </si>
  <si>
    <t>Λ</t>
  </si>
  <si>
    <t>(gr)</t>
  </si>
  <si>
    <t>(m)</t>
  </si>
  <si>
    <t>(%)</t>
  </si>
  <si>
    <t>(°)</t>
  </si>
  <si>
    <r>
      <t>(kN/m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)</t>
    </r>
  </si>
  <si>
    <r>
      <t>(kJ/m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)</t>
    </r>
  </si>
  <si>
    <r>
      <t>Ø’</t>
    </r>
    <r>
      <rPr>
        <b/>
        <i/>
        <vertAlign val="subscript"/>
        <sz val="12"/>
        <color theme="1"/>
        <rFont val="Times New Roman"/>
        <family val="1"/>
      </rPr>
      <t>cs,ps</t>
    </r>
  </si>
  <si>
    <r>
      <t>Ø’</t>
    </r>
    <r>
      <rPr>
        <b/>
        <i/>
        <vertAlign val="subscript"/>
        <sz val="12"/>
        <color theme="1"/>
        <rFont val="Times New Roman"/>
        <family val="1"/>
      </rPr>
      <t>cv,ps</t>
    </r>
  </si>
  <si>
    <r>
      <t>K</t>
    </r>
    <r>
      <rPr>
        <b/>
        <i/>
        <vertAlign val="subscript"/>
        <sz val="12"/>
        <color theme="1"/>
        <rFont val="Times New Roman"/>
        <family val="1"/>
      </rPr>
      <t>0</t>
    </r>
  </si>
  <si>
    <r>
      <t>kN/m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</si>
  <si>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n</t>
    </r>
    <r>
      <rPr>
        <b/>
        <i/>
        <vertAlign val="subscript"/>
        <sz val="11"/>
        <color theme="1"/>
        <rFont val="Times New Roman"/>
        <family val="1"/>
      </rPr>
      <t>max</t>
    </r>
  </si>
  <si>
    <r>
      <t>n</t>
    </r>
    <r>
      <rPr>
        <b/>
        <i/>
        <vertAlign val="subscript"/>
        <sz val="11"/>
        <color theme="1"/>
        <rFont val="Times New Roman"/>
        <family val="1"/>
      </rPr>
      <t>min</t>
    </r>
  </si>
  <si>
    <r>
      <t>γ</t>
    </r>
    <r>
      <rPr>
        <b/>
        <i/>
        <vertAlign val="subscript"/>
        <sz val="11"/>
        <color theme="1"/>
        <rFont val="Times New Roman"/>
        <family val="1"/>
      </rPr>
      <t>max</t>
    </r>
  </si>
  <si>
    <r>
      <t>γ</t>
    </r>
    <r>
      <rPr>
        <b/>
        <i/>
        <vertAlign val="subscript"/>
        <sz val="11"/>
        <color theme="1"/>
        <rFont val="Times New Roman"/>
        <family val="1"/>
      </rPr>
      <t>min</t>
    </r>
  </si>
  <si>
    <r>
      <t>γ</t>
    </r>
    <r>
      <rPr>
        <b/>
        <i/>
        <vertAlign val="subscript"/>
        <sz val="11"/>
        <color theme="1"/>
        <rFont val="Times New Roman"/>
        <family val="1"/>
      </rPr>
      <t>w</t>
    </r>
  </si>
  <si>
    <t>1) silica sand basic parameters (see numeral 3.2):</t>
  </si>
  <si>
    <t>calculation</t>
  </si>
  <si>
    <t>#.##</t>
  </si>
  <si>
    <t>equation used for each calculation</t>
  </si>
  <si>
    <t>Code of colors for cells:</t>
  </si>
  <si>
    <r>
      <t>V</t>
    </r>
    <r>
      <rPr>
        <b/>
        <i/>
        <vertAlign val="subscript"/>
        <sz val="12"/>
        <color theme="1"/>
        <rFont val="Times New Roman"/>
        <family val="1"/>
      </rPr>
      <t>s</t>
    </r>
  </si>
  <si>
    <t>see numeral 3.2</t>
  </si>
  <si>
    <t>solver target</t>
  </si>
  <si>
    <t>solver result</t>
  </si>
  <si>
    <r>
      <t>n</t>
    </r>
    <r>
      <rPr>
        <b/>
        <i/>
        <vertAlign val="subscript"/>
        <sz val="12"/>
        <color theme="1"/>
        <rFont val="Times New Roman"/>
        <family val="1"/>
      </rPr>
      <t>c</t>
    </r>
  </si>
  <si>
    <r>
      <t>D</t>
    </r>
    <r>
      <rPr>
        <b/>
        <i/>
        <vertAlign val="subscript"/>
        <sz val="12"/>
        <color theme="1"/>
        <rFont val="Times New Roman"/>
        <family val="1"/>
      </rPr>
      <t>r,c,sand</t>
    </r>
  </si>
  <si>
    <r>
      <t>n</t>
    </r>
    <r>
      <rPr>
        <b/>
        <i/>
        <vertAlign val="subscript"/>
        <sz val="12"/>
        <color theme="1"/>
        <rFont val="Times New Roman"/>
        <family val="1"/>
      </rPr>
      <t>c,model</t>
    </r>
  </si>
  <si>
    <r>
      <t>n</t>
    </r>
    <r>
      <rPr>
        <b/>
        <i/>
        <vertAlign val="subscript"/>
        <sz val="12"/>
        <color theme="1"/>
        <rFont val="Times New Roman"/>
        <family val="1"/>
      </rPr>
      <t>c,r</t>
    </r>
  </si>
  <si>
    <r>
      <t>n</t>
    </r>
    <r>
      <rPr>
        <b/>
        <i/>
        <vertAlign val="subscript"/>
        <sz val="12"/>
        <color theme="1"/>
        <rFont val="Times New Roman"/>
        <family val="1"/>
      </rPr>
      <t>c,sand</t>
    </r>
  </si>
  <si>
    <r>
      <t>e</t>
    </r>
    <r>
      <rPr>
        <b/>
        <i/>
        <vertAlign val="subscript"/>
        <sz val="12"/>
        <color theme="1"/>
        <rFont val="Times New Roman"/>
        <family val="1"/>
      </rPr>
      <t>c</t>
    </r>
  </si>
  <si>
    <r>
      <t xml:space="preserve">Volume, </t>
    </r>
    <r>
      <rPr>
        <b/>
        <i/>
        <sz val="12"/>
        <color theme="1"/>
        <rFont val="Times New Roman"/>
        <family val="1"/>
      </rPr>
      <t>V</t>
    </r>
    <r>
      <rPr>
        <b/>
        <i/>
        <vertAlign val="subscript"/>
        <sz val="12"/>
        <color theme="1"/>
        <rFont val="Times New Roman"/>
        <family val="1"/>
      </rPr>
      <t>T</t>
    </r>
  </si>
  <si>
    <t>Eq. (4-11)</t>
  </si>
  <si>
    <t>Eq. (4-23)</t>
  </si>
  <si>
    <t>Eq. (4-22)</t>
  </si>
  <si>
    <t>Eq. (4-21)</t>
  </si>
  <si>
    <t xml:space="preserve">solver target </t>
  </si>
  <si>
    <t>Eq. (4-9)</t>
  </si>
  <si>
    <t>Eq. (5-4)</t>
  </si>
  <si>
    <t>(must be equal to 1)</t>
  </si>
  <si>
    <r>
      <t>(x 10</t>
    </r>
    <r>
      <rPr>
        <b/>
        <vertAlign val="superscript"/>
        <sz val="12"/>
        <color theme="1"/>
        <rFont val="Times New Roman"/>
        <family val="1"/>
      </rPr>
      <t>-4</t>
    </r>
    <r>
      <rPr>
        <b/>
        <sz val="12"/>
        <color theme="1"/>
        <rFont val="Times New Roman"/>
        <family val="1"/>
      </rPr>
      <t xml:space="preserve"> 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)</t>
    </r>
  </si>
  <si>
    <t>input from silica sand data set</t>
  </si>
  <si>
    <r>
      <t>G</t>
    </r>
    <r>
      <rPr>
        <b/>
        <i/>
        <vertAlign val="subscript"/>
        <sz val="11"/>
        <color theme="1"/>
        <rFont val="Times New Roman"/>
        <family val="1"/>
      </rPr>
      <t>s</t>
    </r>
  </si>
  <si>
    <t>voltage output from datalogger (V)</t>
  </si>
  <si>
    <t>OCR</t>
  </si>
  <si>
    <t>relative error</t>
  </si>
  <si>
    <t>(kPa)</t>
  </si>
  <si>
    <t>PSR # 1</t>
  </si>
  <si>
    <t>PSR # 2</t>
  </si>
  <si>
    <t>PSR # 3</t>
  </si>
  <si>
    <t>average</t>
  </si>
  <si>
    <t>average (SD):</t>
  </si>
  <si>
    <t>no.</t>
  </si>
  <si>
    <t>input from experimental/lab meassurement</t>
  </si>
  <si>
    <t>see calibration functions in numeral 3.4.2.2</t>
  </si>
  <si>
    <t>Eq. (2-1)</t>
  </si>
  <si>
    <r>
      <t>K</t>
    </r>
    <r>
      <rPr>
        <b/>
        <i/>
        <vertAlign val="subscript"/>
        <sz val="12"/>
        <color theme="1"/>
        <rFont val="Times New Roman"/>
        <family val="1"/>
      </rPr>
      <t>0-OC</t>
    </r>
  </si>
  <si>
    <t>Eq. (5-7)</t>
  </si>
  <si>
    <t>Experimental results</t>
  </si>
  <si>
    <r>
      <t>Ø’</t>
    </r>
    <r>
      <rPr>
        <b/>
        <i/>
        <vertAlign val="subscript"/>
        <sz val="12"/>
        <color theme="1"/>
        <rFont val="Times New Roman"/>
        <family val="1"/>
      </rPr>
      <t>cv,ps,OCR</t>
    </r>
  </si>
  <si>
    <t>Eq. (5-10)</t>
  </si>
  <si>
    <r>
      <t>Ø’</t>
    </r>
    <r>
      <rPr>
        <b/>
        <i/>
        <vertAlign val="subscript"/>
        <sz val="12"/>
        <color theme="1"/>
        <rFont val="Times New Roman"/>
        <family val="1"/>
      </rPr>
      <t>cs,ps,OCR</t>
    </r>
  </si>
  <si>
    <r>
      <t>K</t>
    </r>
    <r>
      <rPr>
        <b/>
        <i/>
        <vertAlign val="subscript"/>
        <sz val="12"/>
        <color theme="1"/>
        <rFont val="Times New Roman"/>
        <family val="1"/>
      </rPr>
      <t>0-OCR</t>
    </r>
  </si>
  <si>
    <t>Eq. (5-8)</t>
  </si>
  <si>
    <t>case</t>
  </si>
  <si>
    <t>standard Proctor</t>
  </si>
  <si>
    <t>modified Proctor</t>
  </si>
  <si>
    <t>Model calculations</t>
  </si>
  <si>
    <t>RC</t>
  </si>
  <si>
    <t>reduced modified Proctor</t>
  </si>
  <si>
    <t>2) model parameters for the four samples of silica sand:</t>
  </si>
  <si>
    <t>N/A</t>
  </si>
  <si>
    <t>non-compacted</t>
  </si>
  <si>
    <t>V= A* H</t>
  </si>
  <si>
    <r>
      <t xml:space="preserve">5) results for the </t>
    </r>
    <r>
      <rPr>
        <b/>
        <sz val="12"/>
        <color rgb="FFFF0000"/>
        <rFont val="Times New Roman"/>
        <family val="1"/>
      </rPr>
      <t>reduced modified proctor</t>
    </r>
    <r>
      <rPr>
        <b/>
        <sz val="12"/>
        <color theme="1"/>
        <rFont val="Times New Roman"/>
        <family val="1"/>
      </rPr>
      <t xml:space="preserve"> compacted sample:</t>
    </r>
  </si>
  <si>
    <r>
      <t xml:space="preserve">4) results for the </t>
    </r>
    <r>
      <rPr>
        <b/>
        <sz val="12"/>
        <color rgb="FFFF0000"/>
        <rFont val="Times New Roman"/>
        <family val="1"/>
      </rPr>
      <t>standar proctor</t>
    </r>
    <r>
      <rPr>
        <b/>
        <sz val="12"/>
        <color theme="1"/>
        <rFont val="Times New Roman"/>
        <family val="1"/>
      </rPr>
      <t xml:space="preserve"> compacted sample:</t>
    </r>
  </si>
  <si>
    <r>
      <t xml:space="preserve">3) results for the </t>
    </r>
    <r>
      <rPr>
        <b/>
        <sz val="12"/>
        <color rgb="FFFF0000"/>
        <rFont val="Times New Roman"/>
        <family val="1"/>
      </rPr>
      <t>non-compacted</t>
    </r>
    <r>
      <rPr>
        <b/>
        <sz val="12"/>
        <color theme="1"/>
        <rFont val="Times New Roman"/>
        <family val="1"/>
      </rPr>
      <t xml:space="preserve"> sample:</t>
    </r>
  </si>
  <si>
    <r>
      <t xml:space="preserve">6) results for the </t>
    </r>
    <r>
      <rPr>
        <b/>
        <sz val="12"/>
        <color rgb="FFFF0000"/>
        <rFont val="Times New Roman"/>
        <family val="1"/>
      </rPr>
      <t>modified proctor</t>
    </r>
    <r>
      <rPr>
        <b/>
        <sz val="12"/>
        <color theme="1"/>
        <rFont val="Times New Roman"/>
        <family val="1"/>
      </rPr>
      <t xml:space="preserve"> compacted sample:</t>
    </r>
  </si>
  <si>
    <t>Eq. (5-11)</t>
  </si>
  <si>
    <t>γ</t>
  </si>
  <si>
    <r>
      <t>σ’</t>
    </r>
    <r>
      <rPr>
        <b/>
        <i/>
        <vertAlign val="subscript"/>
        <sz val="11"/>
        <color theme="1"/>
        <rFont val="Calibri"/>
        <family val="2"/>
        <scheme val="minor"/>
      </rPr>
      <t>v,max</t>
    </r>
  </si>
  <si>
    <r>
      <rPr>
        <b/>
        <i/>
        <sz val="12"/>
        <color theme="1"/>
        <rFont val="Times New Roman"/>
        <family val="1"/>
      </rPr>
      <t>σ’</t>
    </r>
    <r>
      <rPr>
        <b/>
        <i/>
        <vertAlign val="subscript"/>
        <sz val="12"/>
        <color theme="1"/>
        <rFont val="Times New Roman"/>
        <family val="1"/>
      </rPr>
      <t>h</t>
    </r>
    <r>
      <rPr>
        <b/>
        <sz val="12"/>
        <color theme="1"/>
        <rFont val="Times New Roman"/>
        <family val="1"/>
      </rPr>
      <t xml:space="preserve"> (kPa)</t>
    </r>
  </si>
  <si>
    <r>
      <t>σ’</t>
    </r>
    <r>
      <rPr>
        <b/>
        <i/>
        <vertAlign val="subscript"/>
        <sz val="12"/>
        <color theme="1"/>
        <rFont val="Times New Roman"/>
        <family val="1"/>
      </rPr>
      <t>v,0</t>
    </r>
  </si>
  <si>
    <t>output</t>
  </si>
  <si>
    <t>XL Toolbox Settings</t>
  </si>
  <si>
    <t>export_preset</t>
  </si>
  <si>
    <t>&lt;?xml version="1.0" encoding="utf-16"?&gt;_x000D_
&lt;Preset xmlns:xsd="http://www.w3.org/2001/XMLSchema" xmlns:xsi="http://www.w3.org/2001/XMLSchema-instance"&gt;_x000D_
  &lt;Name&gt;Tiff, 1200 dpi, RGB, Transparent canvas&lt;/Name&gt;_x000D_
  &lt;Dpi&gt;1200&lt;/Dpi&gt;_x000D_
  &lt;FileType&gt;Tiff&lt;/FileType&gt;_x000D_
  &lt;ColorSpace&gt;Rgb&lt;/ColorSpace&gt;_x000D_
  &lt;Transparency&gt;TransparentCanvas&lt;/Transparency&gt;_x000D_
  &lt;UseColorProfile&gt;false&lt;/UseColorProfile&gt;_x000D_
  &lt;ColorProfile&gt;sRGB Color Space Profile&lt;/ColorProfile&gt;_x000D_
&lt;/Preset&gt;</t>
  </si>
  <si>
    <t>export_path</t>
  </si>
  <si>
    <t>Eqs. (4-11) or (4-12)</t>
  </si>
  <si>
    <r>
      <t>D</t>
    </r>
    <r>
      <rPr>
        <b/>
        <i/>
        <vertAlign val="subscript"/>
        <sz val="12"/>
        <color theme="1"/>
        <rFont val="Times New Roman"/>
        <family val="1"/>
      </rPr>
      <t>r,c,model</t>
    </r>
  </si>
  <si>
    <t>Eq. (4-23) in terms of model</t>
  </si>
  <si>
    <r>
      <t>e</t>
    </r>
    <r>
      <rPr>
        <b/>
        <i/>
        <vertAlign val="subscript"/>
        <sz val="12"/>
        <color theme="1"/>
        <rFont val="Times New Roman"/>
        <family val="1"/>
      </rPr>
      <t>c,model</t>
    </r>
  </si>
  <si>
    <r>
      <t>e</t>
    </r>
    <r>
      <rPr>
        <b/>
        <i/>
        <vertAlign val="subscript"/>
        <sz val="12"/>
        <color theme="1"/>
        <rFont val="Times New Roman"/>
        <family val="1"/>
      </rPr>
      <t>c,sand</t>
    </r>
  </si>
  <si>
    <t>C:\Users\linam\OneDrive\Documentos\TK\TESIS PhD K0 KA KP\publications\paper no 2 as new ASCE-IJG\Figures\Fig 8.tif</t>
  </si>
  <si>
    <t>step</t>
  </si>
  <si>
    <t>Eq. (5-14)</t>
  </si>
  <si>
    <t>silica sand</t>
  </si>
  <si>
    <t>spheres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</si>
</sst>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"/>
  </numFmts>
  <fonts count="3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vertAlign val="sub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rgb="FF0061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double">
        <color indexed="64"/>
      </right>
      <top/>
      <bottom style="thin">
        <color rgb="FF7F7F7F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27" fillId="3" borderId="35" applyNumberFormat="0" applyAlignment="0" applyProtection="0"/>
  </cellStyleXfs>
  <cellXfs count="172">
    <xf numFmtId="0" fontId="0" fillId="0" borderId="0" xfId="0"/>
    <xf numFmtId="0" fontId="4" fillId="0" borderId="3" xfId="0" applyFont="1" applyBorder="1" applyAlignment="1">
      <alignment vertical="center" wrapText="1"/>
    </xf>
    <xf numFmtId="0" fontId="3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0" fillId="0" borderId="3" xfId="0" applyBorder="1"/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2" fillId="4" borderId="7" xfId="3" applyBorder="1" applyAlignment="1">
      <alignment horizontal="center"/>
    </xf>
    <xf numFmtId="0" fontId="2" fillId="3" borderId="7" xfId="2" applyBorder="1" applyAlignment="1">
      <alignment horizontal="center"/>
    </xf>
    <xf numFmtId="2" fontId="1" fillId="2" borderId="1" xfId="1" applyNumberFormat="1" applyAlignment="1">
      <alignment horizontal="center"/>
    </xf>
    <xf numFmtId="0" fontId="1" fillId="2" borderId="11" xfId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3" fillId="7" borderId="7" xfId="4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13" fillId="7" borderId="14" xfId="4" applyFill="1" applyBorder="1" applyAlignment="1">
      <alignment horizontal="center" vertical="center" wrapText="1"/>
    </xf>
    <xf numFmtId="0" fontId="13" fillId="7" borderId="14" xfId="4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165" fontId="0" fillId="0" borderId="0" xfId="0" applyNumberFormat="1"/>
    <xf numFmtId="0" fontId="4" fillId="7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4" fillId="6" borderId="4" xfId="5" applyAlignment="1">
      <alignment horizontal="center"/>
    </xf>
    <xf numFmtId="0" fontId="0" fillId="0" borderId="3" xfId="0" applyBorder="1" applyAlignment="1">
      <alignment horizontal="center"/>
    </xf>
    <xf numFmtId="2" fontId="16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18" fillId="4" borderId="6" xfId="3" applyNumberFormat="1" applyFont="1" applyBorder="1" applyAlignment="1">
      <alignment horizontal="center" vertical="center" wrapText="1"/>
    </xf>
    <xf numFmtId="2" fontId="19" fillId="3" borderId="6" xfId="2" applyNumberFormat="1" applyFont="1" applyBorder="1" applyAlignment="1">
      <alignment horizontal="center" vertical="center"/>
    </xf>
    <xf numFmtId="2" fontId="19" fillId="3" borderId="12" xfId="2" applyNumberFormat="1" applyFont="1" applyBorder="1" applyAlignment="1">
      <alignment horizontal="center" vertical="center"/>
    </xf>
    <xf numFmtId="165" fontId="19" fillId="3" borderId="13" xfId="2" applyNumberFormat="1" applyFont="1" applyBorder="1" applyAlignment="1">
      <alignment horizontal="center" vertical="center"/>
    </xf>
    <xf numFmtId="10" fontId="19" fillId="3" borderId="13" xfId="2" applyNumberFormat="1" applyFont="1" applyBorder="1" applyAlignment="1">
      <alignment horizontal="center" vertical="center"/>
    </xf>
    <xf numFmtId="166" fontId="20" fillId="2" borderId="13" xfId="1" applyNumberFormat="1" applyFont="1" applyBorder="1" applyAlignment="1">
      <alignment horizontal="center" vertical="center"/>
    </xf>
    <xf numFmtId="164" fontId="18" fillId="4" borderId="1" xfId="3" applyNumberFormat="1" applyFont="1" applyBorder="1" applyAlignment="1">
      <alignment horizontal="center" vertical="center"/>
    </xf>
    <xf numFmtId="165" fontId="18" fillId="4" borderId="1" xfId="3" applyNumberFormat="1" applyFont="1" applyBorder="1" applyAlignment="1">
      <alignment horizontal="center" vertical="center" wrapText="1"/>
    </xf>
    <xf numFmtId="2" fontId="19" fillId="3" borderId="1" xfId="2" applyNumberFormat="1" applyFont="1" applyAlignment="1">
      <alignment horizontal="center" vertical="center"/>
    </xf>
    <xf numFmtId="165" fontId="19" fillId="3" borderId="5" xfId="2" applyNumberFormat="1" applyFont="1" applyBorder="1" applyAlignment="1">
      <alignment horizontal="center" vertical="center"/>
    </xf>
    <xf numFmtId="165" fontId="19" fillId="3" borderId="6" xfId="2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left" vertical="top"/>
    </xf>
    <xf numFmtId="2" fontId="22" fillId="0" borderId="0" xfId="0" applyNumberFormat="1" applyFont="1" applyBorder="1" applyAlignment="1">
      <alignment horizontal="center" vertical="top"/>
    </xf>
    <xf numFmtId="165" fontId="22" fillId="0" borderId="0" xfId="0" applyNumberFormat="1" applyFont="1" applyBorder="1" applyAlignment="1">
      <alignment horizontal="left" vertical="top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5" fontId="19" fillId="3" borderId="21" xfId="2" applyNumberFormat="1" applyFont="1" applyBorder="1" applyAlignment="1">
      <alignment horizontal="center" vertical="center"/>
    </xf>
    <xf numFmtId="166" fontId="21" fillId="6" borderId="4" xfId="5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7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0" xfId="0" applyBorder="1"/>
    <xf numFmtId="0" fontId="4" fillId="7" borderId="2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8" fillId="4" borderId="6" xfId="3" applyNumberFormat="1" applyFont="1" applyBorder="1" applyAlignment="1">
      <alignment horizontal="center" vertical="center" wrapText="1"/>
    </xf>
    <xf numFmtId="2" fontId="18" fillId="4" borderId="6" xfId="3" applyNumberFormat="1" applyFont="1" applyBorder="1" applyAlignment="1">
      <alignment horizontal="center" vertical="center"/>
    </xf>
    <xf numFmtId="2" fontId="18" fillId="4" borderId="1" xfId="3" applyNumberFormat="1" applyFont="1" applyBorder="1" applyAlignment="1">
      <alignment horizontal="center" vertical="center" wrapText="1"/>
    </xf>
    <xf numFmtId="2" fontId="18" fillId="4" borderId="1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22" xfId="0" applyBorder="1"/>
    <xf numFmtId="0" fontId="4" fillId="8" borderId="13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165" fontId="19" fillId="3" borderId="33" xfId="2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0" fillId="0" borderId="0" xfId="0" applyNumberFormat="1"/>
    <xf numFmtId="1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26" fillId="7" borderId="15" xfId="0" applyFont="1" applyFill="1" applyBorder="1" applyAlignment="1">
      <alignment horizontal="center" vertical="center" wrapText="1"/>
    </xf>
    <xf numFmtId="1" fontId="18" fillId="4" borderId="30" xfId="3" applyNumberFormat="1" applyFont="1" applyBorder="1" applyAlignment="1">
      <alignment horizontal="center" vertical="center"/>
    </xf>
    <xf numFmtId="10" fontId="19" fillId="3" borderId="34" xfId="2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4" applyFill="1" applyBorder="1" applyAlignment="1">
      <alignment vertical="center"/>
    </xf>
    <xf numFmtId="166" fontId="19" fillId="0" borderId="0" xfId="2" applyNumberFormat="1" applyFont="1" applyFill="1" applyBorder="1" applyAlignment="1">
      <alignment horizontal="center" vertical="center"/>
    </xf>
    <xf numFmtId="1" fontId="18" fillId="4" borderId="29" xfId="3" applyNumberFormat="1" applyFont="1" applyBorder="1" applyAlignment="1">
      <alignment horizontal="center" vertical="center"/>
    </xf>
    <xf numFmtId="1" fontId="19" fillId="0" borderId="0" xfId="2" applyNumberFormat="1" applyFont="1" applyFill="1" applyBorder="1" applyAlignment="1">
      <alignment horizontal="center" vertical="center"/>
    </xf>
    <xf numFmtId="9" fontId="0" fillId="0" borderId="0" xfId="0" applyNumberFormat="1"/>
    <xf numFmtId="1" fontId="0" fillId="0" borderId="0" xfId="0" applyNumberFormat="1"/>
    <xf numFmtId="165" fontId="28" fillId="3" borderId="35" xfId="6" applyNumberFormat="1" applyFont="1" applyAlignment="1">
      <alignment horizontal="center" vertical="center"/>
    </xf>
    <xf numFmtId="2" fontId="28" fillId="3" borderId="35" xfId="6" applyNumberFormat="1" applyFont="1" applyAlignment="1">
      <alignment horizontal="center" vertical="center"/>
    </xf>
    <xf numFmtId="10" fontId="28" fillId="3" borderId="35" xfId="6" applyNumberFormat="1" applyFont="1" applyAlignment="1">
      <alignment horizontal="center" vertical="center"/>
    </xf>
    <xf numFmtId="0" fontId="0" fillId="8" borderId="0" xfId="0" applyFill="1"/>
    <xf numFmtId="0" fontId="4" fillId="8" borderId="0" xfId="0" applyFont="1" applyFill="1" applyBorder="1" applyAlignment="1">
      <alignment horizontal="center" vertical="center" wrapText="1"/>
    </xf>
    <xf numFmtId="2" fontId="15" fillId="8" borderId="0" xfId="0" applyNumberFormat="1" applyFont="1" applyFill="1" applyBorder="1" applyAlignment="1">
      <alignment horizontal="center"/>
    </xf>
    <xf numFmtId="10" fontId="15" fillId="8" borderId="0" xfId="0" applyNumberFormat="1" applyFont="1" applyFill="1" applyBorder="1" applyAlignment="1">
      <alignment horizontal="center"/>
    </xf>
    <xf numFmtId="166" fontId="0" fillId="8" borderId="0" xfId="0" applyNumberFormat="1" applyFill="1"/>
    <xf numFmtId="2" fontId="22" fillId="8" borderId="0" xfId="0" applyNumberFormat="1" applyFont="1" applyFill="1" applyBorder="1" applyAlignment="1">
      <alignment horizontal="center" vertical="center"/>
    </xf>
    <xf numFmtId="164" fontId="0" fillId="8" borderId="0" xfId="0" applyNumberFormat="1" applyFill="1"/>
    <xf numFmtId="2" fontId="0" fillId="8" borderId="0" xfId="0" applyNumberFormat="1" applyFill="1"/>
    <xf numFmtId="2" fontId="3" fillId="8" borderId="0" xfId="0" applyNumberFormat="1" applyFont="1" applyFill="1"/>
    <xf numFmtId="0" fontId="3" fillId="8" borderId="0" xfId="0" applyFont="1" applyFill="1"/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7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4" fillId="8" borderId="0" xfId="0" applyNumberFormat="1" applyFont="1" applyFill="1" applyBorder="1" applyAlignment="1">
      <alignment horizontal="center" vertical="center" wrapText="1"/>
    </xf>
    <xf numFmtId="165" fontId="19" fillId="8" borderId="0" xfId="2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/>
    </xf>
    <xf numFmtId="0" fontId="0" fillId="0" borderId="0" xfId="0" applyFill="1"/>
    <xf numFmtId="2" fontId="15" fillId="0" borderId="0" xfId="0" applyNumberFormat="1" applyFont="1" applyFill="1" applyBorder="1" applyAlignment="1">
      <alignment horizontal="center"/>
    </xf>
    <xf numFmtId="165" fontId="19" fillId="3" borderId="12" xfId="2" applyNumberFormat="1" applyFont="1" applyBorder="1" applyAlignment="1">
      <alignment horizontal="center" vertical="center"/>
    </xf>
    <xf numFmtId="0" fontId="13" fillId="7" borderId="15" xfId="4" applyFill="1" applyBorder="1" applyAlignment="1">
      <alignment vertical="center"/>
    </xf>
    <xf numFmtId="10" fontId="19" fillId="3" borderId="12" xfId="2" applyNumberFormat="1" applyFont="1" applyBorder="1" applyAlignment="1">
      <alignment horizontal="center" vertical="center"/>
    </xf>
    <xf numFmtId="10" fontId="19" fillId="0" borderId="0" xfId="2" applyNumberFormat="1" applyFont="1" applyFill="1" applyBorder="1" applyAlignment="1">
      <alignment horizontal="center" vertical="center"/>
    </xf>
    <xf numFmtId="10" fontId="28" fillId="3" borderId="36" xfId="6" applyNumberFormat="1" applyFont="1" applyBorder="1" applyAlignment="1">
      <alignment horizontal="center" vertical="center"/>
    </xf>
    <xf numFmtId="165" fontId="19" fillId="0" borderId="0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13" fillId="0" borderId="0" xfId="4" applyNumberFormat="1" applyFill="1" applyBorder="1" applyAlignment="1">
      <alignment horizontal="center" vertical="center"/>
    </xf>
    <xf numFmtId="165" fontId="13" fillId="0" borderId="0" xfId="4" applyNumberFormat="1" applyFill="1" applyBorder="1" applyAlignment="1">
      <alignment horizontal="center" vertical="center"/>
    </xf>
    <xf numFmtId="10" fontId="13" fillId="0" borderId="0" xfId="4" applyNumberFormat="1" applyFill="1" applyBorder="1"/>
    <xf numFmtId="165" fontId="13" fillId="0" borderId="0" xfId="4" applyNumberFormat="1" applyFill="1" applyBorder="1"/>
    <xf numFmtId="1" fontId="15" fillId="8" borderId="0" xfId="0" applyNumberFormat="1" applyFont="1" applyFill="1" applyBorder="1" applyAlignment="1">
      <alignment horizontal="center"/>
    </xf>
    <xf numFmtId="164" fontId="18" fillId="4" borderId="6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7" borderId="14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 vertical="center"/>
    </xf>
    <xf numFmtId="2" fontId="4" fillId="7" borderId="17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</cellXfs>
  <cellStyles count="7">
    <cellStyle name="Bueno" xfId="3" builtinId="26"/>
    <cellStyle name="Cálculo" xfId="2" builtinId="22"/>
    <cellStyle name="Celda de comprobación" xfId="5" builtinId="23"/>
    <cellStyle name="Entrada" xfId="1" builtinId="20"/>
    <cellStyle name="Neutral" xfId="4" builtinId="28"/>
    <cellStyle name="Normal" xfId="0" builtinId="0"/>
    <cellStyle name="Salida" xfId="6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27882374969258E-2"/>
          <c:y val="1.9391669639566005E-2"/>
          <c:w val="0.92314960629921261"/>
          <c:h val="0.89571403494234414"/>
        </c:manualLayout>
      </c:layout>
      <c:scatterChart>
        <c:scatterStyle val="smoothMarker"/>
        <c:varyColors val="0"/>
        <c:ser>
          <c:idx val="2"/>
          <c:order val="0"/>
          <c:tx>
            <c:v>non-compacted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Sheet1!$J$28:$J$33</c:f>
              <c:numCache>
                <c:formatCode>0.000</c:formatCode>
                <c:ptCount val="6"/>
                <c:pt idx="0">
                  <c:v>0.43755827407474629</c:v>
                </c:pt>
                <c:pt idx="1">
                  <c:v>0.46966341863387734</c:v>
                </c:pt>
                <c:pt idx="2">
                  <c:v>0.50114827355521308</c:v>
                </c:pt>
                <c:pt idx="3">
                  <c:v>0.5370387652962868</c:v>
                </c:pt>
                <c:pt idx="4">
                  <c:v>0.59586605362893053</c:v>
                </c:pt>
                <c:pt idx="5">
                  <c:v>0.66597460236848416</c:v>
                </c:pt>
              </c:numCache>
            </c:numRef>
          </c:xVal>
          <c:yVal>
            <c:numRef>
              <c:f>Sheet1!$K$28:$K$33</c:f>
              <c:numCache>
                <c:formatCode>0.000</c:formatCode>
                <c:ptCount val="6"/>
                <c:pt idx="0">
                  <c:v>1</c:v>
                </c:pt>
                <c:pt idx="1">
                  <c:v>1.1287172183432048</c:v>
                </c:pt>
                <c:pt idx="2">
                  <c:v>1.2954659980734189</c:v>
                </c:pt>
                <c:pt idx="3">
                  <c:v>1.5253116380891334</c:v>
                </c:pt>
                <c:pt idx="4">
                  <c:v>1.8464996339265272</c:v>
                </c:pt>
                <c:pt idx="5">
                  <c:v>2.3900365072417751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8E5-4AA0-A11F-0BF45CCA02A8}"/>
            </c:ext>
          </c:extLst>
        </c:ser>
        <c:ser>
          <c:idx val="0"/>
          <c:order val="1"/>
          <c:tx>
            <c:v>standard Proctor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Sheet1!$J$42:$J$48</c:f>
              <c:numCache>
                <c:formatCode>0.000</c:formatCode>
                <c:ptCount val="7"/>
                <c:pt idx="0">
                  <c:v>0.75844582582319287</c:v>
                </c:pt>
                <c:pt idx="1">
                  <c:v>0.79217953288302312</c:v>
                </c:pt>
                <c:pt idx="2">
                  <c:v>0.81383247431211947</c:v>
                </c:pt>
                <c:pt idx="3">
                  <c:v>0.87555309408230209</c:v>
                </c:pt>
                <c:pt idx="4">
                  <c:v>0.90744271470019411</c:v>
                </c:pt>
                <c:pt idx="5">
                  <c:v>0.94106848554608868</c:v>
                </c:pt>
                <c:pt idx="6">
                  <c:v>1.0308724714908211</c:v>
                </c:pt>
              </c:numCache>
            </c:numRef>
          </c:xVal>
          <c:yVal>
            <c:numRef>
              <c:f>Sheet1!$P$42:$P$48</c:f>
              <c:numCache>
                <c:formatCode>0.000</c:formatCode>
                <c:ptCount val="7"/>
                <c:pt idx="0">
                  <c:v>4.1866973850619535</c:v>
                </c:pt>
                <c:pt idx="1">
                  <c:v>4.8941795275904507</c:v>
                </c:pt>
                <c:pt idx="2">
                  <c:v>5.4057283518165953</c:v>
                </c:pt>
                <c:pt idx="3">
                  <c:v>7.1118997910587369</c:v>
                </c:pt>
                <c:pt idx="4">
                  <c:v>8.1289905049662075</c:v>
                </c:pt>
                <c:pt idx="5">
                  <c:v>9.2891008323369864</c:v>
                </c:pt>
                <c:pt idx="6">
                  <c:v>12.735037790990683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E5-4AA0-A11F-0BF45CCA02A8}"/>
            </c:ext>
          </c:extLst>
        </c:ser>
        <c:ser>
          <c:idx val="3"/>
          <c:order val="2"/>
          <c:tx>
            <c:v>reduced modified Proctor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Sheet1!$J$57:$J$62</c:f>
              <c:numCache>
                <c:formatCode>0.000</c:formatCode>
                <c:ptCount val="6"/>
                <c:pt idx="0">
                  <c:v>0.98763656178099413</c:v>
                </c:pt>
                <c:pt idx="1">
                  <c:v>1.0515285465080908</c:v>
                </c:pt>
                <c:pt idx="2">
                  <c:v>1.1360400679288303</c:v>
                </c:pt>
                <c:pt idx="3">
                  <c:v>1.1844156526023844</c:v>
                </c:pt>
                <c:pt idx="4">
                  <c:v>1.3645051906151051</c:v>
                </c:pt>
                <c:pt idx="5">
                  <c:v>1.8309494302334075</c:v>
                </c:pt>
              </c:numCache>
            </c:numRef>
          </c:xVal>
          <c:yVal>
            <c:numRef>
              <c:f>Sheet1!$P$57:$P$62</c:f>
              <c:numCache>
                <c:formatCode>0.000</c:formatCode>
                <c:ptCount val="6"/>
                <c:pt idx="0">
                  <c:v>11.520914310722572</c:v>
                </c:pt>
                <c:pt idx="1">
                  <c:v>14.142142841458863</c:v>
                </c:pt>
                <c:pt idx="2">
                  <c:v>17.842033818347936</c:v>
                </c:pt>
                <c:pt idx="3">
                  <c:v>20.041375831262108</c:v>
                </c:pt>
                <c:pt idx="4">
                  <c:v>28.53029810200935</c:v>
                </c:pt>
                <c:pt idx="5">
                  <c:v>51.398557470480007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01-414A-B903-05E6E5963433}"/>
            </c:ext>
          </c:extLst>
        </c:ser>
        <c:ser>
          <c:idx val="1"/>
          <c:order val="3"/>
          <c:tx>
            <c:v>modified Proctor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Sheet1!$J$71:$J$75</c:f>
              <c:numCache>
                <c:formatCode>0.000</c:formatCode>
                <c:ptCount val="5"/>
                <c:pt idx="0">
                  <c:v>1.556774865068302</c:v>
                </c:pt>
                <c:pt idx="1">
                  <c:v>1.8003645740155212</c:v>
                </c:pt>
                <c:pt idx="2">
                  <c:v>2.0626903138545569</c:v>
                </c:pt>
                <c:pt idx="3">
                  <c:v>3.0284842750723242</c:v>
                </c:pt>
                <c:pt idx="4">
                  <c:v>6.5007966249893903</c:v>
                </c:pt>
              </c:numCache>
            </c:numRef>
          </c:xVal>
          <c:yVal>
            <c:numRef>
              <c:f>Sheet1!$P$71:$P$75</c:f>
              <c:numCache>
                <c:formatCode>0.000</c:formatCode>
                <c:ptCount val="5"/>
                <c:pt idx="0">
                  <c:v>40.008478470434682</c:v>
                </c:pt>
                <c:pt idx="1">
                  <c:v>52.631879322590407</c:v>
                </c:pt>
                <c:pt idx="2">
                  <c:v>66.347527220293387</c:v>
                </c:pt>
                <c:pt idx="3">
                  <c:v>117.22999048101158</c:v>
                </c:pt>
                <c:pt idx="4">
                  <c:v>301.07189527971065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8E5-4AA0-A11F-0BF45CCA0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16128"/>
        <c:axId val="36427776"/>
      </c:scatterChart>
      <c:valAx>
        <c:axId val="36416128"/>
        <c:scaling>
          <c:logBase val="10"/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CA" i="1"/>
                  <a:t>K</a:t>
                </a:r>
                <a:r>
                  <a:rPr lang="en-CA" i="1" baseline="-25000"/>
                  <a:t>0-OC</a:t>
                </a:r>
              </a:p>
            </c:rich>
          </c:tx>
          <c:layout>
            <c:manualLayout>
              <c:xMode val="edge"/>
              <c:yMode val="edge"/>
              <c:x val="0.44628495770673976"/>
              <c:y val="0.95278847385666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CO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36427776"/>
        <c:crosses val="autoZero"/>
        <c:crossBetween val="midCat"/>
      </c:valAx>
      <c:valAx>
        <c:axId val="3642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CA" i="1"/>
                  <a:t>OCR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C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36416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2864378133637825E-2"/>
          <c:y val="2.2686933772996076E-2"/>
          <c:w val="0.34729010632464913"/>
          <c:h val="0.1873104475014475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97593477360731E-2"/>
          <c:y val="1.9391717638841496E-2"/>
          <c:w val="0.86282316066166753"/>
          <c:h val="0.88364290496791476"/>
        </c:manualLayout>
      </c:layout>
      <c:scatterChart>
        <c:scatterStyle val="lineMarker"/>
        <c:varyColors val="0"/>
        <c:ser>
          <c:idx val="2"/>
          <c:order val="0"/>
          <c:tx>
            <c:v>non-compacted</c:v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6301973298184637E-17"/>
                  <c:y val="6.9981445273888596E-3"/>
                </c:manualLayout>
              </c:layout>
              <c:tx>
                <c:rich>
                  <a:bodyPr/>
                  <a:lstStyle/>
                  <a:p>
                    <a:fld id="{FDC4F66C-09FA-44AA-B6F9-2256DF03E97D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8D5-4800-987E-1A3401CED0A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DDBF3F0-5706-4C79-93A1-BFF2F798D305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8D5-4800-987E-1A3401CED0A3}"/>
                </c:ext>
              </c:extLst>
            </c:dLbl>
            <c:dLbl>
              <c:idx val="2"/>
              <c:layout>
                <c:manualLayout>
                  <c:x val="-2.6301973298184637E-17"/>
                  <c:y val="-5.2486083955417409E-3"/>
                </c:manualLayout>
              </c:layout>
              <c:tx>
                <c:rich>
                  <a:bodyPr/>
                  <a:lstStyle/>
                  <a:p>
                    <a:fld id="{85A70334-2E54-481C-B424-9F519FFA7933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8D5-4800-987E-1A3401CED0A3}"/>
                </c:ext>
              </c:extLst>
            </c:dLbl>
            <c:dLbl>
              <c:idx val="3"/>
              <c:layout>
                <c:manualLayout>
                  <c:x val="-2.6301973298184637E-17"/>
                  <c:y val="-8.7476806592362358E-3"/>
                </c:manualLayout>
              </c:layout>
              <c:tx>
                <c:rich>
                  <a:bodyPr/>
                  <a:lstStyle/>
                  <a:p>
                    <a:fld id="{586809ED-4D81-483E-9D20-297D1DD96C9E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8D5-4800-987E-1A3401CED0A3}"/>
                </c:ext>
              </c:extLst>
            </c:dLbl>
            <c:dLbl>
              <c:idx val="4"/>
              <c:layout>
                <c:manualLayout>
                  <c:x val="-2.6301973298184637E-17"/>
                  <c:y val="-8.7476806592362358E-3"/>
                </c:manualLayout>
              </c:layout>
              <c:tx>
                <c:rich>
                  <a:bodyPr/>
                  <a:lstStyle/>
                  <a:p>
                    <a:fld id="{BDD773A6-4AEC-441F-B0B0-7232B6B6BB39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8D5-4800-987E-1A3401CED0A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D6DBA89-475C-4AF3-B4BF-966752B0223D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8D5-4800-987E-1A3401CED0A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Sheet1!$Z$28:$Z$33</c:f>
              <c:numCache>
                <c:formatCode>0.00%</c:formatCode>
                <c:ptCount val="6"/>
                <c:pt idx="0">
                  <c:v>0.64638922867021553</c:v>
                </c:pt>
                <c:pt idx="1">
                  <c:v>0.64638922867021553</c:v>
                </c:pt>
                <c:pt idx="2">
                  <c:v>0.64638922867021553</c:v>
                </c:pt>
                <c:pt idx="3">
                  <c:v>0.64638922867021553</c:v>
                </c:pt>
                <c:pt idx="4">
                  <c:v>0.6463892286702152</c:v>
                </c:pt>
                <c:pt idx="5">
                  <c:v>0.64638922867021553</c:v>
                </c:pt>
              </c:numCache>
            </c:numRef>
          </c:xVal>
          <c:yVal>
            <c:numRef>
              <c:f>Sheet1!$K$28:$K$33</c:f>
              <c:numCache>
                <c:formatCode>0.000</c:formatCode>
                <c:ptCount val="6"/>
                <c:pt idx="0">
                  <c:v>1</c:v>
                </c:pt>
                <c:pt idx="1">
                  <c:v>1.1287172183432048</c:v>
                </c:pt>
                <c:pt idx="2">
                  <c:v>1.2954659980734189</c:v>
                </c:pt>
                <c:pt idx="3">
                  <c:v>1.5253116380891334</c:v>
                </c:pt>
                <c:pt idx="4">
                  <c:v>1.8464996339265272</c:v>
                </c:pt>
                <c:pt idx="5">
                  <c:v>2.3900365072417751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Sheet1!$B$28:$B$33</c15:f>
                <c15:dlblRangeCache>
                  <c:ptCount val="6"/>
                  <c:pt idx="0">
                    <c:v>24,1</c:v>
                  </c:pt>
                  <c:pt idx="1">
                    <c:v>21,3</c:v>
                  </c:pt>
                  <c:pt idx="2">
                    <c:v>18,6</c:v>
                  </c:pt>
                  <c:pt idx="3">
                    <c:v>15,8</c:v>
                  </c:pt>
                  <c:pt idx="4">
                    <c:v>13,0</c:v>
                  </c:pt>
                  <c:pt idx="5">
                    <c:v>10,1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B13A-4483-8CA5-075063066A2F}"/>
            </c:ext>
          </c:extLst>
        </c:ser>
        <c:ser>
          <c:idx val="5"/>
          <c:order val="1"/>
          <c:tx>
            <c:v>standard Proctor</c:v>
          </c:tx>
          <c:spPr>
            <a:ln w="25400">
              <a:noFill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2684089723557985E-17"/>
                  <c:y val="3.4960669934525823E-3"/>
                </c:manualLayout>
              </c:layout>
              <c:tx>
                <c:rich>
                  <a:bodyPr/>
                  <a:lstStyle/>
                  <a:p>
                    <a:fld id="{D43EC7C7-8810-4988-BEB2-4E8A3CA4FBA8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8D5-4800-987E-1A3401CED0A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BDE58A-C753-45C4-B43E-10A00D5012EA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8D5-4800-987E-1A3401CED0A3}"/>
                </c:ext>
              </c:extLst>
            </c:dLbl>
            <c:dLbl>
              <c:idx val="2"/>
              <c:layout>
                <c:manualLayout>
                  <c:x val="-5.2603946596369273E-17"/>
                  <c:y val="-8.7416192742125129E-3"/>
                </c:manualLayout>
              </c:layout>
              <c:tx>
                <c:rich>
                  <a:bodyPr/>
                  <a:lstStyle/>
                  <a:p>
                    <a:fld id="{5C02BA48-5E03-4732-899E-23FE8625E521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8D5-4800-987E-1A3401CED0A3}"/>
                </c:ext>
              </c:extLst>
            </c:dLbl>
            <c:dLbl>
              <c:idx val="3"/>
              <c:layout>
                <c:manualLayout>
                  <c:x val="-5.2603946596369273E-17"/>
                  <c:y val="5.2486083955417409E-3"/>
                </c:manualLayout>
              </c:layout>
              <c:tx>
                <c:rich>
                  <a:bodyPr/>
                  <a:lstStyle/>
                  <a:p>
                    <a:fld id="{4B04486C-DD18-44EE-9957-16E849FEAB9B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8D5-4800-987E-1A3401CED0A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9583DA5-1264-49AF-9D92-9EA639CE39F1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8D5-4800-987E-1A3401CED0A3}"/>
                </c:ext>
              </c:extLst>
            </c:dLbl>
            <c:dLbl>
              <c:idx val="5"/>
              <c:layout>
                <c:manualLayout>
                  <c:x val="-5.2603946596369273E-17"/>
                  <c:y val="-6.9981445273891163E-3"/>
                </c:manualLayout>
              </c:layout>
              <c:tx>
                <c:rich>
                  <a:bodyPr/>
                  <a:lstStyle/>
                  <a:p>
                    <a:fld id="{EBDFAA9E-7FD9-4B89-9274-D6BAC6DEDDEC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8D5-4800-987E-1A3401CED0A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043E0F2-EB04-473B-809B-4320219937CE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8D5-4800-987E-1A3401CED0A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Sheet1!$Z$42:$Z$48</c:f>
              <c:numCache>
                <c:formatCode>0.00%</c:formatCode>
                <c:ptCount val="7"/>
                <c:pt idx="0">
                  <c:v>0.70367007833203521</c:v>
                </c:pt>
                <c:pt idx="1">
                  <c:v>0.70367007833203521</c:v>
                </c:pt>
                <c:pt idx="2">
                  <c:v>0.70367007833203521</c:v>
                </c:pt>
                <c:pt idx="3">
                  <c:v>0.70367007833203521</c:v>
                </c:pt>
                <c:pt idx="4">
                  <c:v>0.70367007833203521</c:v>
                </c:pt>
                <c:pt idx="5">
                  <c:v>0.70367007833203521</c:v>
                </c:pt>
                <c:pt idx="6">
                  <c:v>0.70367007833203521</c:v>
                </c:pt>
              </c:numCache>
            </c:numRef>
          </c:xVal>
          <c:yVal>
            <c:numRef>
              <c:f>Sheet1!$P$42:$P$48</c:f>
              <c:numCache>
                <c:formatCode>0.000</c:formatCode>
                <c:ptCount val="7"/>
                <c:pt idx="0">
                  <c:v>4.1866973850619535</c:v>
                </c:pt>
                <c:pt idx="1">
                  <c:v>4.8941795275904507</c:v>
                </c:pt>
                <c:pt idx="2">
                  <c:v>5.4057283518165953</c:v>
                </c:pt>
                <c:pt idx="3">
                  <c:v>7.1118997910587369</c:v>
                </c:pt>
                <c:pt idx="4">
                  <c:v>8.1289905049662075</c:v>
                </c:pt>
                <c:pt idx="5">
                  <c:v>9.2891008323369864</c:v>
                </c:pt>
                <c:pt idx="6">
                  <c:v>12.735037790990683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Sheet1!$B$42:$B$48</c15:f>
                <c15:dlblRangeCache>
                  <c:ptCount val="7"/>
                  <c:pt idx="0">
                    <c:v>24,1</c:v>
                  </c:pt>
                  <c:pt idx="1">
                    <c:v>21,3</c:v>
                  </c:pt>
                  <c:pt idx="2">
                    <c:v>18,6</c:v>
                  </c:pt>
                  <c:pt idx="3">
                    <c:v>15,8</c:v>
                  </c:pt>
                  <c:pt idx="4">
                    <c:v>13,0</c:v>
                  </c:pt>
                  <c:pt idx="5">
                    <c:v>10,1</c:v>
                  </c:pt>
                  <c:pt idx="6">
                    <c:v>7,4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B13A-4483-8CA5-075063066A2F}"/>
            </c:ext>
          </c:extLst>
        </c:ser>
        <c:ser>
          <c:idx val="6"/>
          <c:order val="2"/>
          <c:tx>
            <c:v>reduced modified Proctor</c:v>
          </c:tx>
          <c:spPr>
            <a:ln w="25400">
              <a:noFill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A80C9A9-0249-4BEA-9345-02D2B695B16D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A8D5-4800-987E-1A3401CED0A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89C65DB-6A3A-4531-A756-635F28915A63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8D5-4800-987E-1A3401CED0A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505F36A-F66B-41B5-B8B1-14D69F0F97B7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8D5-4800-987E-1A3401CED0A3}"/>
                </c:ext>
              </c:extLst>
            </c:dLbl>
            <c:dLbl>
              <c:idx val="3"/>
              <c:layout>
                <c:manualLayout>
                  <c:x val="0"/>
                  <c:y val="-5.244100490178873E-3"/>
                </c:manualLayout>
              </c:layout>
              <c:tx>
                <c:rich>
                  <a:bodyPr/>
                  <a:lstStyle/>
                  <a:p>
                    <a:fld id="{45F3618C-2F7A-4BCE-8173-C4C6EBAB9E7A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A8D5-4800-987E-1A3401CED0A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76E6EC2-8139-4244-8936-2D4C9E4A99CE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8D5-4800-987E-1A3401CED0A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641EA34-1E18-41B5-8B70-9C246EC59018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8D5-4800-987E-1A3401CED0A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Sheet1!$Z$57:$Z$62</c:f>
              <c:numCache>
                <c:formatCode>0.00%</c:formatCode>
                <c:ptCount val="6"/>
                <c:pt idx="0">
                  <c:v>0.80950571911531743</c:v>
                </c:pt>
                <c:pt idx="1">
                  <c:v>0.80950571911531743</c:v>
                </c:pt>
                <c:pt idx="2">
                  <c:v>0.80950571911531743</c:v>
                </c:pt>
                <c:pt idx="3">
                  <c:v>0.80950571911531743</c:v>
                </c:pt>
                <c:pt idx="4">
                  <c:v>0.80950571911531743</c:v>
                </c:pt>
                <c:pt idx="5">
                  <c:v>0.80950571911531743</c:v>
                </c:pt>
              </c:numCache>
            </c:numRef>
          </c:xVal>
          <c:yVal>
            <c:numRef>
              <c:f>Sheet1!$P$57:$P$62</c:f>
              <c:numCache>
                <c:formatCode>0.000</c:formatCode>
                <c:ptCount val="6"/>
                <c:pt idx="0">
                  <c:v>11.520914310722572</c:v>
                </c:pt>
                <c:pt idx="1">
                  <c:v>14.142142841458863</c:v>
                </c:pt>
                <c:pt idx="2">
                  <c:v>17.842033818347936</c:v>
                </c:pt>
                <c:pt idx="3">
                  <c:v>20.041375831262108</c:v>
                </c:pt>
                <c:pt idx="4">
                  <c:v>28.53029810200935</c:v>
                </c:pt>
                <c:pt idx="5">
                  <c:v>51.398557470480007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Sheet1!$B$57:$B$62</c15:f>
                <c15:dlblRangeCache>
                  <c:ptCount val="6"/>
                  <c:pt idx="0">
                    <c:v>18,6</c:v>
                  </c:pt>
                  <c:pt idx="1">
                    <c:v>15,8</c:v>
                  </c:pt>
                  <c:pt idx="2">
                    <c:v>13,0</c:v>
                  </c:pt>
                  <c:pt idx="3">
                    <c:v>10,1</c:v>
                  </c:pt>
                  <c:pt idx="4">
                    <c:v>7,4</c:v>
                  </c:pt>
                  <c:pt idx="5">
                    <c:v>4,5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B13A-4483-8CA5-075063066A2F}"/>
            </c:ext>
          </c:extLst>
        </c:ser>
        <c:ser>
          <c:idx val="7"/>
          <c:order val="3"/>
          <c:tx>
            <c:v>modified Proctor</c:v>
          </c:tx>
          <c:spPr>
            <a:ln w="25400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A3848EF-37A3-4E56-8EB9-D4C6BA5BD630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A8D5-4800-987E-1A3401CED0A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84AE33A-00EE-4252-9511-B791B046BE39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8D5-4800-987E-1A3401CED0A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C904503-6014-45EF-B794-F8ABF1AF9F8B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8D5-4800-987E-1A3401CED0A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6EF42A3-C5E2-44A9-ACA0-95DB0828E3A3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8D5-4800-987E-1A3401CED0A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CE72B67-F37C-4D71-A923-D0A20D567DCA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8D5-4800-987E-1A3401CED0A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Sheet1!$Z$71:$Z$75</c:f>
              <c:numCache>
                <c:formatCode>0.00%</c:formatCode>
                <c:ptCount val="5"/>
                <c:pt idx="0">
                  <c:v>0.99171603406245235</c:v>
                </c:pt>
                <c:pt idx="1">
                  <c:v>0.99171603406245235</c:v>
                </c:pt>
                <c:pt idx="2">
                  <c:v>0.99171603406245235</c:v>
                </c:pt>
                <c:pt idx="3">
                  <c:v>0.99171603406245235</c:v>
                </c:pt>
                <c:pt idx="4">
                  <c:v>0.99171603406245168</c:v>
                </c:pt>
              </c:numCache>
            </c:numRef>
          </c:xVal>
          <c:yVal>
            <c:numRef>
              <c:f>Sheet1!$P$71:$P$75</c:f>
              <c:numCache>
                <c:formatCode>0.000</c:formatCode>
                <c:ptCount val="5"/>
                <c:pt idx="0">
                  <c:v>40.008478470434682</c:v>
                </c:pt>
                <c:pt idx="1">
                  <c:v>52.631879322590407</c:v>
                </c:pt>
                <c:pt idx="2">
                  <c:v>66.347527220293387</c:v>
                </c:pt>
                <c:pt idx="3">
                  <c:v>117.22999048101158</c:v>
                </c:pt>
                <c:pt idx="4">
                  <c:v>301.07189527971065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Sheet1!$B$71:$B$75</c15:f>
                <c15:dlblRangeCache>
                  <c:ptCount val="5"/>
                  <c:pt idx="0">
                    <c:v>13,0</c:v>
                  </c:pt>
                  <c:pt idx="1">
                    <c:v>10,1</c:v>
                  </c:pt>
                  <c:pt idx="2">
                    <c:v>7,4</c:v>
                  </c:pt>
                  <c:pt idx="3">
                    <c:v>4,5</c:v>
                  </c:pt>
                  <c:pt idx="4">
                    <c:v>1,7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B13A-4483-8CA5-075063066A2F}"/>
            </c:ext>
          </c:extLst>
        </c:ser>
        <c:ser>
          <c:idx val="1"/>
          <c:order val="4"/>
          <c:tx>
            <c:v>all</c:v>
          </c:tx>
          <c:spPr>
            <a:ln w="19050">
              <a:noFill/>
            </a:ln>
          </c:spPr>
          <c:marker>
            <c:symbol val="none"/>
          </c:marker>
          <c:xVal>
            <c:numRef>
              <c:f>Sheet1!$AP$54:$AP$80</c:f>
              <c:numCache>
                <c:formatCode>0.00%</c:formatCode>
                <c:ptCount val="27"/>
              </c:numCache>
            </c:numRef>
          </c:xVal>
          <c:yVal>
            <c:numRef>
              <c:f>Sheet1!$AQ$54:$AQ$80</c:f>
              <c:numCache>
                <c:formatCode>0.000</c:formatCode>
                <c:ptCount val="2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13A-4483-8CA5-075063066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16128"/>
        <c:axId val="36427776"/>
      </c:scatterChart>
      <c:valAx>
        <c:axId val="36416128"/>
        <c:scaling>
          <c:orientation val="minMax"/>
          <c:max val="1"/>
          <c:min val="0.60000000000000009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CA" i="1"/>
                  <a:t>D</a:t>
                </a:r>
                <a:r>
                  <a:rPr lang="en-CA" i="1" baseline="-25000"/>
                  <a:t>r</a:t>
                </a:r>
              </a:p>
            </c:rich>
          </c:tx>
          <c:layout>
            <c:manualLayout>
              <c:xMode val="edge"/>
              <c:yMode val="edge"/>
              <c:x val="0.50675537589625608"/>
              <c:y val="0.954512909459571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36427776"/>
        <c:crosses val="autoZero"/>
        <c:crossBetween val="midCat"/>
      </c:valAx>
      <c:valAx>
        <c:axId val="364277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CA" i="1"/>
                  <a:t>OCR</a:t>
                </a:r>
              </a:p>
            </c:rich>
          </c:tx>
          <c:layout>
            <c:manualLayout>
              <c:xMode val="edge"/>
              <c:yMode val="edge"/>
              <c:x val="0"/>
              <c:y val="0.427586199405021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36416128"/>
        <c:crosses val="autoZero"/>
        <c:crossBetween val="midCat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9.8900872265281881E-2"/>
          <c:y val="2.4480629668338121E-2"/>
          <c:w val="0.32886731659274876"/>
          <c:h val="0.1776273429908116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49726</xdr:colOff>
      <xdr:row>14</xdr:row>
      <xdr:rowOff>91706</xdr:rowOff>
    </xdr:from>
    <xdr:to>
      <xdr:col>6</xdr:col>
      <xdr:colOff>778176</xdr:colOff>
      <xdr:row>14</xdr:row>
      <xdr:rowOff>450647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BA452A-4CB1-4182-B29E-B193194EB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5226" y="3128500"/>
          <a:ext cx="728450" cy="362116"/>
        </a:xfrm>
        <a:prstGeom prst="rect">
          <a:avLst/>
        </a:prstGeom>
      </xdr:spPr>
    </xdr:pic>
    <xdr:clientData/>
  </xdr:twoCellAnchor>
  <xdr:twoCellAnchor editAs="oneCell">
    <xdr:from>
      <xdr:col>5</xdr:col>
      <xdr:colOff>243401</xdr:colOff>
      <xdr:row>14</xdr:row>
      <xdr:rowOff>97463</xdr:rowOff>
    </xdr:from>
    <xdr:to>
      <xdr:col>5</xdr:col>
      <xdr:colOff>637362</xdr:colOff>
      <xdr:row>14</xdr:row>
      <xdr:rowOff>426531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98EC15-4C6B-45BA-ACD5-97E11F5B9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1225" y="3134257"/>
          <a:ext cx="397136" cy="332243"/>
        </a:xfrm>
        <a:prstGeom prst="rect">
          <a:avLst/>
        </a:prstGeom>
      </xdr:spPr>
    </xdr:pic>
    <xdr:clientData/>
  </xdr:twoCellAnchor>
  <xdr:twoCellAnchor editAs="oneCell">
    <xdr:from>
      <xdr:col>7</xdr:col>
      <xdr:colOff>55960</xdr:colOff>
      <xdr:row>14</xdr:row>
      <xdr:rowOff>77808</xdr:rowOff>
    </xdr:from>
    <xdr:to>
      <xdr:col>7</xdr:col>
      <xdr:colOff>811610</xdr:colOff>
      <xdr:row>14</xdr:row>
      <xdr:rowOff>485492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28CFC-2E44-4889-886E-E7BE37370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58866" y="3393699"/>
          <a:ext cx="762000" cy="407684"/>
        </a:xfrm>
        <a:prstGeom prst="rect">
          <a:avLst/>
        </a:prstGeom>
      </xdr:spPr>
    </xdr:pic>
    <xdr:clientData/>
  </xdr:twoCellAnchor>
  <xdr:twoCellAnchor editAs="oneCell">
    <xdr:from>
      <xdr:col>8</xdr:col>
      <xdr:colOff>44720</xdr:colOff>
      <xdr:row>14</xdr:row>
      <xdr:rowOff>75310</xdr:rowOff>
    </xdr:from>
    <xdr:to>
      <xdr:col>8</xdr:col>
      <xdr:colOff>771408</xdr:colOff>
      <xdr:row>14</xdr:row>
      <xdr:rowOff>456753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4982B94-86D0-4EE3-A288-7F68AD491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75926" y="3112104"/>
          <a:ext cx="729863" cy="381443"/>
        </a:xfrm>
        <a:prstGeom prst="rect">
          <a:avLst/>
        </a:prstGeom>
      </xdr:spPr>
    </xdr:pic>
    <xdr:clientData/>
  </xdr:twoCellAnchor>
  <xdr:twoCellAnchor>
    <xdr:from>
      <xdr:col>28</xdr:col>
      <xdr:colOff>9524</xdr:colOff>
      <xdr:row>23</xdr:row>
      <xdr:rowOff>9606</xdr:rowOff>
    </xdr:from>
    <xdr:to>
      <xdr:col>39</xdr:col>
      <xdr:colOff>323849</xdr:colOff>
      <xdr:row>45</xdr:row>
      <xdr:rowOff>285750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8B0E616-3377-448B-B62B-F846120618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203481</xdr:colOff>
      <xdr:row>14</xdr:row>
      <xdr:rowOff>73585</xdr:rowOff>
    </xdr:from>
    <xdr:to>
      <xdr:col>18</xdr:col>
      <xdr:colOff>1030940</xdr:colOff>
      <xdr:row>14</xdr:row>
      <xdr:rowOff>523139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8F04CA-384D-4F43-9861-F3A221850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460540" y="3110379"/>
          <a:ext cx="830634" cy="449554"/>
        </a:xfrm>
        <a:prstGeom prst="rect">
          <a:avLst/>
        </a:prstGeom>
      </xdr:spPr>
    </xdr:pic>
    <xdr:clientData/>
  </xdr:twoCellAnchor>
  <xdr:twoCellAnchor>
    <xdr:from>
      <xdr:col>32</xdr:col>
      <xdr:colOff>596900</xdr:colOff>
      <xdr:row>55</xdr:row>
      <xdr:rowOff>228600</xdr:rowOff>
    </xdr:from>
    <xdr:to>
      <xdr:col>38</xdr:col>
      <xdr:colOff>409575</xdr:colOff>
      <xdr:row>57</xdr:row>
      <xdr:rowOff>95251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C894FD24-4F0A-4F83-86D5-6F890BA19941}"/>
            </a:ext>
          </a:extLst>
        </xdr:cNvPr>
        <xdr:cNvCxnSpPr/>
      </xdr:nvCxnSpPr>
      <xdr:spPr>
        <a:xfrm flipV="1">
          <a:off x="34086800" y="15687675"/>
          <a:ext cx="3470275" cy="762001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485775</xdr:colOff>
      <xdr:row>42</xdr:row>
      <xdr:rowOff>219075</xdr:rowOff>
    </xdr:from>
    <xdr:to>
      <xdr:col>30</xdr:col>
      <xdr:colOff>485775</xdr:colOff>
      <xdr:row>43</xdr:row>
      <xdr:rowOff>171450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4CF2A7C-490D-49E6-9224-F8D72DA40F11}"/>
            </a:ext>
          </a:extLst>
        </xdr:cNvPr>
        <xdr:cNvCxnSpPr/>
      </xdr:nvCxnSpPr>
      <xdr:spPr>
        <a:xfrm>
          <a:off x="22040850" y="12020550"/>
          <a:ext cx="0" cy="2476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27214</xdr:colOff>
      <xdr:row>47</xdr:row>
      <xdr:rowOff>275319</xdr:rowOff>
    </xdr:from>
    <xdr:to>
      <xdr:col>40</xdr:col>
      <xdr:colOff>1360</xdr:colOff>
      <xdr:row>72</xdr:row>
      <xdr:rowOff>6351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EB04286-1B89-4E69-A1BA-F3287F9F7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20</xdr:col>
      <xdr:colOff>153708</xdr:colOff>
      <xdr:row>26</xdr:row>
      <xdr:rowOff>102656</xdr:rowOff>
    </xdr:from>
    <xdr:to>
      <xdr:col>20</xdr:col>
      <xdr:colOff>997559</xdr:colOff>
      <xdr:row>26</xdr:row>
      <xdr:rowOff>540984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FF2C7B-3695-4FF0-9016-ECC33DB4D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990796" y="6747744"/>
          <a:ext cx="850201" cy="444678"/>
        </a:xfrm>
        <a:prstGeom prst="rect">
          <a:avLst/>
        </a:prstGeom>
      </xdr:spPr>
    </xdr:pic>
    <xdr:clientData/>
  </xdr:twoCellAnchor>
  <xdr:oneCellAnchor>
    <xdr:from>
      <xdr:col>24</xdr:col>
      <xdr:colOff>153708</xdr:colOff>
      <xdr:row>26</xdr:row>
      <xdr:rowOff>102656</xdr:rowOff>
    </xdr:from>
    <xdr:ext cx="843851" cy="435153"/>
    <xdr:pic>
      <xdr:nvPicPr>
        <xdr:cNvPr id="12" name="Picture 11">
          <a:extLst>
            <a:ext uri="{FF2B5EF4-FFF2-40B4-BE49-F238E27FC236}">
              <a16:creationId xmlns:a16="http://schemas.microsoft.com/office/drawing/2014/main" id="{D9B97ECD-AA2C-4829-BA33-932B67679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003683" y="6754281"/>
          <a:ext cx="843851" cy="435153"/>
        </a:xfrm>
        <a:prstGeom prst="rect">
          <a:avLst/>
        </a:prstGeom>
      </xdr:spPr>
    </xdr:pic>
    <xdr:clientData/>
  </xdr:oneCellAnchor>
  <xdr:oneCellAnchor>
    <xdr:from>
      <xdr:col>20</xdr:col>
      <xdr:colOff>153708</xdr:colOff>
      <xdr:row>40</xdr:row>
      <xdr:rowOff>102656</xdr:rowOff>
    </xdr:from>
    <xdr:ext cx="843851" cy="435153"/>
    <xdr:pic>
      <xdr:nvPicPr>
        <xdr:cNvPr id="13" name="Picture 12">
          <a:extLst>
            <a:ext uri="{FF2B5EF4-FFF2-40B4-BE49-F238E27FC236}">
              <a16:creationId xmlns:a16="http://schemas.microsoft.com/office/drawing/2014/main" id="{0C4AAF05-2865-41A8-8556-35EB4ABB1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013208" y="6786938"/>
          <a:ext cx="843851" cy="435153"/>
        </a:xfrm>
        <a:prstGeom prst="rect">
          <a:avLst/>
        </a:prstGeom>
      </xdr:spPr>
    </xdr:pic>
    <xdr:clientData/>
  </xdr:oneCellAnchor>
  <xdr:oneCellAnchor>
    <xdr:from>
      <xdr:col>24</xdr:col>
      <xdr:colOff>153708</xdr:colOff>
      <xdr:row>40</xdr:row>
      <xdr:rowOff>102656</xdr:rowOff>
    </xdr:from>
    <xdr:ext cx="843851" cy="435153"/>
    <xdr:pic>
      <xdr:nvPicPr>
        <xdr:cNvPr id="14" name="Picture 13">
          <a:extLst>
            <a:ext uri="{FF2B5EF4-FFF2-40B4-BE49-F238E27FC236}">
              <a16:creationId xmlns:a16="http://schemas.microsoft.com/office/drawing/2014/main" id="{1935EB93-ECC2-4CBC-B0EC-F0A129EA4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639637" y="6786938"/>
          <a:ext cx="843851" cy="435153"/>
        </a:xfrm>
        <a:prstGeom prst="rect">
          <a:avLst/>
        </a:prstGeom>
      </xdr:spPr>
    </xdr:pic>
    <xdr:clientData/>
  </xdr:oneCellAnchor>
  <xdr:twoCellAnchor>
    <xdr:from>
      <xdr:col>33</xdr:col>
      <xdr:colOff>36635</xdr:colOff>
      <xdr:row>56</xdr:row>
      <xdr:rowOff>164367</xdr:rowOff>
    </xdr:from>
    <xdr:to>
      <xdr:col>38</xdr:col>
      <xdr:colOff>314832</xdr:colOff>
      <xdr:row>59</xdr:row>
      <xdr:rowOff>34133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689E62D9-9A69-40A1-95D0-FE4C5BC76D1B}"/>
            </a:ext>
          </a:extLst>
        </xdr:cNvPr>
        <xdr:cNvCxnSpPr/>
      </xdr:nvCxnSpPr>
      <xdr:spPr>
        <a:xfrm flipV="1">
          <a:off x="34114154" y="16181021"/>
          <a:ext cx="3318870" cy="748997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359019</xdr:colOff>
      <xdr:row>59</xdr:row>
      <xdr:rowOff>65554</xdr:rowOff>
    </xdr:from>
    <xdr:to>
      <xdr:col>32</xdr:col>
      <xdr:colOff>545367</xdr:colOff>
      <xdr:row>61</xdr:row>
      <xdr:rowOff>205154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9FAC6845-CD14-46B9-B88A-FEC17A63FD2A}"/>
            </a:ext>
          </a:extLst>
        </xdr:cNvPr>
        <xdr:cNvCxnSpPr/>
      </xdr:nvCxnSpPr>
      <xdr:spPr>
        <a:xfrm flipV="1">
          <a:off x="32077269" y="16961439"/>
          <a:ext cx="1937483" cy="725753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359019</xdr:colOff>
      <xdr:row>60</xdr:row>
      <xdr:rowOff>107759</xdr:rowOff>
    </xdr:from>
    <xdr:to>
      <xdr:col>32</xdr:col>
      <xdr:colOff>560998</xdr:colOff>
      <xdr:row>63</xdr:row>
      <xdr:rowOff>7327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66D69A6F-0BAF-48CD-98DB-B8F6E7E56E8F}"/>
            </a:ext>
          </a:extLst>
        </xdr:cNvPr>
        <xdr:cNvCxnSpPr/>
      </xdr:nvCxnSpPr>
      <xdr:spPr>
        <a:xfrm flipV="1">
          <a:off x="32077269" y="17296721"/>
          <a:ext cx="1953114" cy="683548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21981</xdr:colOff>
      <xdr:row>57</xdr:row>
      <xdr:rowOff>83534</xdr:rowOff>
    </xdr:from>
    <xdr:to>
      <xdr:col>38</xdr:col>
      <xdr:colOff>351693</xdr:colOff>
      <xdr:row>60</xdr:row>
      <xdr:rowOff>73269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3E7A30A-1848-4299-AF5F-DC5E5E4D9131}"/>
            </a:ext>
          </a:extLst>
        </xdr:cNvPr>
        <xdr:cNvCxnSpPr/>
      </xdr:nvCxnSpPr>
      <xdr:spPr>
        <a:xfrm flipV="1">
          <a:off x="34099500" y="16393265"/>
          <a:ext cx="3370385" cy="868966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366346</xdr:colOff>
      <xdr:row>60</xdr:row>
      <xdr:rowOff>215955</xdr:rowOff>
    </xdr:from>
    <xdr:to>
      <xdr:col>32</xdr:col>
      <xdr:colOff>560998</xdr:colOff>
      <xdr:row>63</xdr:row>
      <xdr:rowOff>139212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2820D52C-F5B0-4D92-A5D1-47F7255835DB}"/>
            </a:ext>
          </a:extLst>
        </xdr:cNvPr>
        <xdr:cNvCxnSpPr/>
      </xdr:nvCxnSpPr>
      <xdr:spPr>
        <a:xfrm flipV="1">
          <a:off x="32084596" y="17404917"/>
          <a:ext cx="1945787" cy="707237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45202</xdr:colOff>
      <xdr:row>58</xdr:row>
      <xdr:rowOff>38545</xdr:rowOff>
    </xdr:from>
    <xdr:to>
      <xdr:col>38</xdr:col>
      <xdr:colOff>359020</xdr:colOff>
      <xdr:row>60</xdr:row>
      <xdr:rowOff>183173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ECFB3CA9-61F1-44CD-AE08-359C2EA329D9}"/>
            </a:ext>
          </a:extLst>
        </xdr:cNvPr>
        <xdr:cNvCxnSpPr/>
      </xdr:nvCxnSpPr>
      <xdr:spPr>
        <a:xfrm flipV="1">
          <a:off x="34122721" y="16641353"/>
          <a:ext cx="3354491" cy="730782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373673</xdr:colOff>
      <xdr:row>61</xdr:row>
      <xdr:rowOff>121383</xdr:rowOff>
    </xdr:from>
    <xdr:to>
      <xdr:col>32</xdr:col>
      <xdr:colOff>545367</xdr:colOff>
      <xdr:row>64</xdr:row>
      <xdr:rowOff>73270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97D9B328-2862-4A04-88FB-E603093ABEC0}"/>
            </a:ext>
          </a:extLst>
        </xdr:cNvPr>
        <xdr:cNvCxnSpPr/>
      </xdr:nvCxnSpPr>
      <xdr:spPr>
        <a:xfrm flipV="1">
          <a:off x="32091923" y="17603421"/>
          <a:ext cx="1922829" cy="625964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366346</xdr:colOff>
      <xdr:row>62</xdr:row>
      <xdr:rowOff>28602</xdr:rowOff>
    </xdr:from>
    <xdr:to>
      <xdr:col>32</xdr:col>
      <xdr:colOff>545367</xdr:colOff>
      <xdr:row>65</xdr:row>
      <xdr:rowOff>124558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6DF7E256-10CB-4617-B681-7110C0199D08}"/>
            </a:ext>
          </a:extLst>
        </xdr:cNvPr>
        <xdr:cNvCxnSpPr/>
      </xdr:nvCxnSpPr>
      <xdr:spPr>
        <a:xfrm flipV="1">
          <a:off x="32084596" y="17803717"/>
          <a:ext cx="1930156" cy="674783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402981</xdr:colOff>
      <xdr:row>63</xdr:row>
      <xdr:rowOff>48114</xdr:rowOff>
    </xdr:from>
    <xdr:to>
      <xdr:col>30</xdr:col>
      <xdr:colOff>297229</xdr:colOff>
      <xdr:row>67</xdr:row>
      <xdr:rowOff>285750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3B806B9C-AF1F-4D98-B817-B2C00E774368}"/>
            </a:ext>
          </a:extLst>
        </xdr:cNvPr>
        <xdr:cNvCxnSpPr/>
      </xdr:nvCxnSpPr>
      <xdr:spPr>
        <a:xfrm flipV="1">
          <a:off x="30978231" y="18021056"/>
          <a:ext cx="1037248" cy="1197463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402981</xdr:colOff>
      <xdr:row>63</xdr:row>
      <xdr:rowOff>168520</xdr:rowOff>
    </xdr:from>
    <xdr:to>
      <xdr:col>30</xdr:col>
      <xdr:colOff>297229</xdr:colOff>
      <xdr:row>68</xdr:row>
      <xdr:rowOff>212481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1EB8E29E-A7D9-4C2F-B1A0-5E15D29C854A}"/>
            </a:ext>
          </a:extLst>
        </xdr:cNvPr>
        <xdr:cNvCxnSpPr/>
      </xdr:nvCxnSpPr>
      <xdr:spPr>
        <a:xfrm flipV="1">
          <a:off x="30978231" y="18141462"/>
          <a:ext cx="1037248" cy="1318846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410308</xdr:colOff>
      <xdr:row>64</xdr:row>
      <xdr:rowOff>131886</xdr:rowOff>
    </xdr:from>
    <xdr:to>
      <xdr:col>30</xdr:col>
      <xdr:colOff>307731</xdr:colOff>
      <xdr:row>69</xdr:row>
      <xdr:rowOff>65942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6102AC4D-AEE5-4DFA-BBDE-4E0E3DE697A8}"/>
            </a:ext>
          </a:extLst>
        </xdr:cNvPr>
        <xdr:cNvCxnSpPr/>
      </xdr:nvCxnSpPr>
      <xdr:spPr>
        <a:xfrm flipV="1">
          <a:off x="30985558" y="18288001"/>
          <a:ext cx="1040423" cy="1340826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153708</xdr:colOff>
      <xdr:row>55</xdr:row>
      <xdr:rowOff>102656</xdr:rowOff>
    </xdr:from>
    <xdr:ext cx="843851" cy="435153"/>
    <xdr:pic>
      <xdr:nvPicPr>
        <xdr:cNvPr id="19" name="Picture 18">
          <a:extLst>
            <a:ext uri="{FF2B5EF4-FFF2-40B4-BE49-F238E27FC236}">
              <a16:creationId xmlns:a16="http://schemas.microsoft.com/office/drawing/2014/main" id="{807D8D23-425F-4F7D-BE64-C75F15FE0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145002" y="10986743"/>
          <a:ext cx="843851" cy="435153"/>
        </a:xfrm>
        <a:prstGeom prst="rect">
          <a:avLst/>
        </a:prstGeom>
      </xdr:spPr>
    </xdr:pic>
    <xdr:clientData/>
  </xdr:oneCellAnchor>
  <xdr:twoCellAnchor>
    <xdr:from>
      <xdr:col>29</xdr:col>
      <xdr:colOff>410308</xdr:colOff>
      <xdr:row>66</xdr:row>
      <xdr:rowOff>69119</xdr:rowOff>
    </xdr:from>
    <xdr:to>
      <xdr:col>30</xdr:col>
      <xdr:colOff>307731</xdr:colOff>
      <xdr:row>69</xdr:row>
      <xdr:rowOff>351692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A9274505-F464-4393-82DD-2B215622327B}"/>
            </a:ext>
          </a:extLst>
        </xdr:cNvPr>
        <xdr:cNvCxnSpPr/>
      </xdr:nvCxnSpPr>
      <xdr:spPr>
        <a:xfrm flipV="1">
          <a:off x="30985558" y="18613561"/>
          <a:ext cx="1040423" cy="1301016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410308</xdr:colOff>
      <xdr:row>66</xdr:row>
      <xdr:rowOff>237637</xdr:rowOff>
    </xdr:from>
    <xdr:to>
      <xdr:col>30</xdr:col>
      <xdr:colOff>297229</xdr:colOff>
      <xdr:row>69</xdr:row>
      <xdr:rowOff>468923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FF43E7D1-2B41-4F5B-9A1C-D375FBA3DACA}"/>
            </a:ext>
          </a:extLst>
        </xdr:cNvPr>
        <xdr:cNvCxnSpPr/>
      </xdr:nvCxnSpPr>
      <xdr:spPr>
        <a:xfrm flipV="1">
          <a:off x="30985558" y="18782079"/>
          <a:ext cx="1029921" cy="1249729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153708</xdr:colOff>
      <xdr:row>55</xdr:row>
      <xdr:rowOff>102656</xdr:rowOff>
    </xdr:from>
    <xdr:ext cx="843851" cy="435153"/>
    <xdr:pic>
      <xdr:nvPicPr>
        <xdr:cNvPr id="20" name="Picture 19">
          <a:extLst>
            <a:ext uri="{FF2B5EF4-FFF2-40B4-BE49-F238E27FC236}">
              <a16:creationId xmlns:a16="http://schemas.microsoft.com/office/drawing/2014/main" id="{7553A4D0-9236-441D-AA4A-A8A1351F2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761826" y="10986743"/>
          <a:ext cx="843851" cy="435153"/>
        </a:xfrm>
        <a:prstGeom prst="rect">
          <a:avLst/>
        </a:prstGeom>
      </xdr:spPr>
    </xdr:pic>
    <xdr:clientData/>
  </xdr:oneCellAnchor>
  <xdr:oneCellAnchor>
    <xdr:from>
      <xdr:col>20</xdr:col>
      <xdr:colOff>153708</xdr:colOff>
      <xdr:row>69</xdr:row>
      <xdr:rowOff>102656</xdr:rowOff>
    </xdr:from>
    <xdr:ext cx="843851" cy="435153"/>
    <xdr:pic>
      <xdr:nvPicPr>
        <xdr:cNvPr id="21" name="Picture 20">
          <a:extLst>
            <a:ext uri="{FF2B5EF4-FFF2-40B4-BE49-F238E27FC236}">
              <a16:creationId xmlns:a16="http://schemas.microsoft.com/office/drawing/2014/main" id="{A6CD36E9-7EAD-4D55-ABF4-B6449BD22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138890" y="15605604"/>
          <a:ext cx="843851" cy="435153"/>
        </a:xfrm>
        <a:prstGeom prst="rect">
          <a:avLst/>
        </a:prstGeom>
      </xdr:spPr>
    </xdr:pic>
    <xdr:clientData/>
  </xdr:oneCellAnchor>
  <xdr:oneCellAnchor>
    <xdr:from>
      <xdr:col>24</xdr:col>
      <xdr:colOff>153708</xdr:colOff>
      <xdr:row>69</xdr:row>
      <xdr:rowOff>102656</xdr:rowOff>
    </xdr:from>
    <xdr:ext cx="843851" cy="435153"/>
    <xdr:pic>
      <xdr:nvPicPr>
        <xdr:cNvPr id="22" name="Picture 21">
          <a:extLst>
            <a:ext uri="{FF2B5EF4-FFF2-40B4-BE49-F238E27FC236}">
              <a16:creationId xmlns:a16="http://schemas.microsoft.com/office/drawing/2014/main" id="{A383708A-36D4-4085-A49B-B118AA251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780163" y="15605604"/>
          <a:ext cx="843851" cy="435153"/>
        </a:xfrm>
        <a:prstGeom prst="rect">
          <a:avLst/>
        </a:prstGeom>
      </xdr:spPr>
    </xdr:pic>
    <xdr:clientData/>
  </xdr:oneCellAnchor>
  <xdr:twoCellAnchor>
    <xdr:from>
      <xdr:col>29</xdr:col>
      <xdr:colOff>410308</xdr:colOff>
      <xdr:row>65</xdr:row>
      <xdr:rowOff>168521</xdr:rowOff>
    </xdr:from>
    <xdr:to>
      <xdr:col>30</xdr:col>
      <xdr:colOff>296252</xdr:colOff>
      <xdr:row>69</xdr:row>
      <xdr:rowOff>219807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B84F7068-3466-4CDC-A91B-7E755E4B08DA}"/>
            </a:ext>
          </a:extLst>
        </xdr:cNvPr>
        <xdr:cNvCxnSpPr/>
      </xdr:nvCxnSpPr>
      <xdr:spPr>
        <a:xfrm flipV="1">
          <a:off x="30985558" y="18522463"/>
          <a:ext cx="1028944" cy="1260229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1093882</xdr:colOff>
      <xdr:row>60</xdr:row>
      <xdr:rowOff>121956</xdr:rowOff>
    </xdr:from>
    <xdr:to>
      <xdr:col>30</xdr:col>
      <xdr:colOff>740151</xdr:colOff>
      <xdr:row>61</xdr:row>
      <xdr:rowOff>115182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9670F27-1338-4318-950D-45E524B8219A}"/>
            </a:ext>
          </a:extLst>
        </xdr:cNvPr>
        <xdr:cNvSpPr txBox="1"/>
      </xdr:nvSpPr>
      <xdr:spPr>
        <a:xfrm>
          <a:off x="31685941" y="17300574"/>
          <a:ext cx="789269" cy="284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l-GR" sz="1600" i="1"/>
            <a:t>σ’</a:t>
          </a:r>
          <a:r>
            <a:rPr lang="en-CA" sz="1600" i="1" baseline="-25000"/>
            <a:t>v,0 </a:t>
          </a:r>
          <a:r>
            <a:rPr lang="en-CA" sz="1600" i="0" baseline="0"/>
            <a:t>(kPa)</a:t>
          </a:r>
        </a:p>
      </xdr:txBody>
    </xdr:sp>
    <xdr:clientData/>
  </xdr:twoCellAnchor>
  <xdr:twoCellAnchor>
    <xdr:from>
      <xdr:col>29</xdr:col>
      <xdr:colOff>70410</xdr:colOff>
      <xdr:row>66</xdr:row>
      <xdr:rowOff>361762</xdr:rowOff>
    </xdr:from>
    <xdr:to>
      <xdr:col>29</xdr:col>
      <xdr:colOff>866029</xdr:colOff>
      <xdr:row>67</xdr:row>
      <xdr:rowOff>246529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49CEFDA-6B6A-4F6E-943E-CB5F671983E4}"/>
            </a:ext>
          </a:extLst>
        </xdr:cNvPr>
        <xdr:cNvSpPr txBox="1"/>
      </xdr:nvSpPr>
      <xdr:spPr>
        <a:xfrm>
          <a:off x="30662469" y="18896291"/>
          <a:ext cx="795619" cy="276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l-GR" sz="1600" i="1"/>
            <a:t>σ’</a:t>
          </a:r>
          <a:r>
            <a:rPr lang="en-CA" sz="1600" i="1" baseline="-25000"/>
            <a:t>v,0 </a:t>
          </a:r>
          <a:r>
            <a:rPr lang="en-CA" sz="1600" i="0" baseline="0"/>
            <a:t>(kPa)</a:t>
          </a:r>
        </a:p>
      </xdr:txBody>
    </xdr:sp>
    <xdr:clientData/>
  </xdr:twoCellAnchor>
  <xdr:twoCellAnchor>
    <xdr:from>
      <xdr:col>32</xdr:col>
      <xdr:colOff>216647</xdr:colOff>
      <xdr:row>56</xdr:row>
      <xdr:rowOff>10086</xdr:rowOff>
    </xdr:from>
    <xdr:to>
      <xdr:col>33</xdr:col>
      <xdr:colOff>397623</xdr:colOff>
      <xdr:row>56</xdr:row>
      <xdr:rowOff>286859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562AB3E-51FA-4A1C-B7B4-826637F14C33}"/>
            </a:ext>
          </a:extLst>
        </xdr:cNvPr>
        <xdr:cNvSpPr txBox="1"/>
      </xdr:nvSpPr>
      <xdr:spPr>
        <a:xfrm>
          <a:off x="33699823" y="16023292"/>
          <a:ext cx="786094" cy="27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l-GR" sz="1600" i="1"/>
            <a:t>σ’</a:t>
          </a:r>
          <a:r>
            <a:rPr lang="en-CA" sz="1600" i="1" baseline="-25000"/>
            <a:t>v,0 </a:t>
          </a:r>
          <a:r>
            <a:rPr lang="en-CA" sz="1600" i="0" baseline="0"/>
            <a:t>(kPa)</a:t>
          </a:r>
        </a:p>
      </xdr:txBody>
    </xdr:sp>
    <xdr:clientData/>
  </xdr:twoCellAnchor>
  <xdr:twoCellAnchor>
    <xdr:from>
      <xdr:col>38</xdr:col>
      <xdr:colOff>163232</xdr:colOff>
      <xdr:row>51</xdr:row>
      <xdr:rowOff>185644</xdr:rowOff>
    </xdr:from>
    <xdr:to>
      <xdr:col>40</xdr:col>
      <xdr:colOff>3830</xdr:colOff>
      <xdr:row>52</xdr:row>
      <xdr:rowOff>256571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4CB1D46-4350-48A6-80E5-C29C04DF8439}"/>
            </a:ext>
          </a:extLst>
        </xdr:cNvPr>
        <xdr:cNvSpPr txBox="1"/>
      </xdr:nvSpPr>
      <xdr:spPr>
        <a:xfrm>
          <a:off x="37277114" y="14383497"/>
          <a:ext cx="781892" cy="2614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l-GR" sz="1600" i="1"/>
            <a:t>σ’</a:t>
          </a:r>
          <a:r>
            <a:rPr lang="en-CA" sz="1600" i="1" baseline="-25000"/>
            <a:t>v,0 </a:t>
          </a:r>
          <a:r>
            <a:rPr lang="en-CA" sz="1600" i="0" baseline="0"/>
            <a:t>(kPa)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0.27642</cdr:x>
      <cdr:y>0.82408</cdr:y>
    </cdr:from>
    <cdr:to>
      <cdr:x>0.39613</cdr:x>
      <cdr:y>0.87272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3B7FAB0-9E08-44A9-9CDD-7E22842CC19D}"/>
            </a:ext>
          </a:extLst>
        </cdr:cNvPr>
        <cdr:cNvSpPr txBox="1"/>
      </cdr:nvSpPr>
      <cdr:spPr>
        <a:xfrm xmlns:a="http://schemas.openxmlformats.org/drawingml/2006/main">
          <a:off x="2445089" y="6046551"/>
          <a:ext cx="1058909" cy="3569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2000" b="0" i="1">
              <a:latin typeface="Times New Roman" panose="02020603050405020304" pitchFamily="18" charset="0"/>
              <a:cs typeface="Times New Roman" panose="02020603050405020304" pitchFamily="18" charset="0"/>
            </a:rPr>
            <a:t>K</a:t>
          </a:r>
          <a:r>
            <a:rPr lang="en-CA" sz="2000" b="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r>
            <a:rPr lang="en-CA" sz="2000" b="0" i="0">
              <a:latin typeface="Times New Roman" panose="02020603050405020304" pitchFamily="18" charset="0"/>
              <a:cs typeface="Times New Roman" panose="02020603050405020304" pitchFamily="18" charset="0"/>
            </a:rPr>
            <a:t>= 0.444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331DC-5AC7-461A-A57F-C51B03292AA0}">
  <sheetPr codeName="Hoja1"/>
  <dimension ref="A1:C3"/>
  <sheetViews>
    <sheetView workbookViewId="0"/>
  </sheetViews>
  <sheetFormatPr baseColWidth="10" defaultColWidth="9.140625" defaultRowHeight="15" x14ac:dyDescent="0.25"/>
  <sheetData>
    <row r="1" spans="1:3" x14ac:dyDescent="0.25">
      <c r="A1" t="s">
        <v>87</v>
      </c>
    </row>
    <row r="2" spans="1:3" ht="409.5" x14ac:dyDescent="0.25">
      <c r="B2" t="s">
        <v>88</v>
      </c>
      <c r="C2" s="121" t="s">
        <v>89</v>
      </c>
    </row>
    <row r="3" spans="1:3" x14ac:dyDescent="0.25">
      <c r="B3" t="s">
        <v>90</v>
      </c>
      <c r="C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9FB6-1A96-41A1-AEC5-B2B3FBFE3932}">
  <sheetPr codeName="Hoja2"/>
  <dimension ref="A1:AQ80"/>
  <sheetViews>
    <sheetView tabSelected="1" zoomScale="70" zoomScaleNormal="70" workbookViewId="0"/>
  </sheetViews>
  <sheetFormatPr baseColWidth="10" defaultColWidth="9.140625" defaultRowHeight="15" x14ac:dyDescent="0.25"/>
  <cols>
    <col min="1" max="1" width="29.7109375" customWidth="1"/>
    <col min="2" max="2" width="11.140625" bestFit="1" customWidth="1"/>
    <col min="3" max="5" width="12.5703125" customWidth="1"/>
    <col min="6" max="6" width="13" customWidth="1"/>
    <col min="7" max="9" width="13.140625" customWidth="1"/>
    <col min="10" max="10" width="11.85546875" customWidth="1"/>
    <col min="11" max="11" width="12.28515625" customWidth="1"/>
    <col min="12" max="12" width="15.42578125" bestFit="1" customWidth="1"/>
    <col min="13" max="13" width="12.5703125" customWidth="1"/>
    <col min="14" max="14" width="12.5703125" bestFit="1" customWidth="1"/>
    <col min="15" max="15" width="14.7109375" customWidth="1"/>
    <col min="16" max="16" width="13.5703125" bestFit="1" customWidth="1"/>
    <col min="17" max="17" width="14.42578125" bestFit="1" customWidth="1"/>
    <col min="18" max="18" width="17.85546875" bestFit="1" customWidth="1"/>
    <col min="19" max="19" width="15.42578125" customWidth="1"/>
    <col min="20" max="28" width="16.5703125" customWidth="1"/>
    <col min="29" max="29" width="19.5703125" customWidth="1"/>
    <col min="30" max="31" width="16.42578125" customWidth="1"/>
    <col min="40" max="40" width="4.7109375" customWidth="1"/>
  </cols>
  <sheetData>
    <row r="1" spans="1:29" ht="15.75" x14ac:dyDescent="0.25">
      <c r="A1" s="95" t="s">
        <v>19</v>
      </c>
    </row>
    <row r="2" spans="1:29" x14ac:dyDescent="0.25">
      <c r="A2" s="2"/>
      <c r="B2" s="7" t="s">
        <v>99</v>
      </c>
      <c r="C2" s="7" t="s">
        <v>100</v>
      </c>
    </row>
    <row r="3" spans="1:29" ht="16.5" x14ac:dyDescent="0.3">
      <c r="A3" s="3" t="s">
        <v>14</v>
      </c>
      <c r="B3" s="10">
        <v>0.45652173913043481</v>
      </c>
      <c r="C3">
        <v>0.47640122440170118</v>
      </c>
      <c r="F3" s="162" t="s">
        <v>23</v>
      </c>
      <c r="G3" s="163"/>
      <c r="H3" s="163"/>
      <c r="I3" s="164"/>
      <c r="J3" s="14"/>
      <c r="K3" s="14"/>
      <c r="L3" s="14"/>
      <c r="M3" s="14"/>
      <c r="N3" s="86"/>
      <c r="O3" s="87"/>
    </row>
    <row r="4" spans="1:29" ht="16.5" x14ac:dyDescent="0.3">
      <c r="A4" s="3" t="s">
        <v>15</v>
      </c>
      <c r="B4" s="10">
        <v>0.33333333333333331</v>
      </c>
      <c r="C4">
        <v>0.25951951030699583</v>
      </c>
      <c r="F4" s="11" t="s">
        <v>21</v>
      </c>
      <c r="G4" s="168" t="s">
        <v>44</v>
      </c>
      <c r="H4" s="166"/>
      <c r="I4" s="167"/>
      <c r="J4" s="15"/>
      <c r="K4" s="15"/>
      <c r="L4" s="15"/>
      <c r="M4" s="15"/>
      <c r="O4" s="7"/>
    </row>
    <row r="5" spans="1:29" ht="16.5" x14ac:dyDescent="0.3">
      <c r="A5" s="3" t="s">
        <v>45</v>
      </c>
      <c r="B5" s="10">
        <v>2.62</v>
      </c>
      <c r="F5" s="8" t="s">
        <v>21</v>
      </c>
      <c r="G5" s="168" t="s">
        <v>56</v>
      </c>
      <c r="H5" s="166"/>
      <c r="I5" s="167"/>
      <c r="J5" s="15"/>
      <c r="K5" s="15"/>
      <c r="L5" s="15"/>
      <c r="M5" s="15"/>
      <c r="O5" s="88"/>
    </row>
    <row r="6" spans="1:29" ht="18" x14ac:dyDescent="0.3">
      <c r="A6" s="3" t="s">
        <v>16</v>
      </c>
      <c r="B6" s="10">
        <v>17.16</v>
      </c>
      <c r="C6" t="s">
        <v>13</v>
      </c>
      <c r="F6" s="9" t="s">
        <v>21</v>
      </c>
      <c r="G6" s="168" t="s">
        <v>20</v>
      </c>
      <c r="H6" s="166"/>
      <c r="I6" s="167"/>
      <c r="J6" s="15"/>
      <c r="K6" s="15"/>
      <c r="L6" s="15"/>
      <c r="M6" s="15"/>
      <c r="O6" s="88"/>
    </row>
    <row r="7" spans="1:29" ht="18.75" thickBot="1" x14ac:dyDescent="0.35">
      <c r="A7" s="3" t="s">
        <v>17</v>
      </c>
      <c r="B7" s="10">
        <v>13.98</v>
      </c>
      <c r="C7" t="s">
        <v>13</v>
      </c>
      <c r="F7" s="13"/>
      <c r="G7" s="157" t="s">
        <v>22</v>
      </c>
      <c r="H7" s="158"/>
      <c r="I7" s="159"/>
      <c r="J7" s="16"/>
      <c r="K7" s="16"/>
      <c r="L7" s="16"/>
      <c r="M7" s="16"/>
      <c r="O7" s="88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</row>
    <row r="8" spans="1:29" ht="19.5" thickTop="1" thickBot="1" x14ac:dyDescent="0.35">
      <c r="A8" s="3" t="s">
        <v>18</v>
      </c>
      <c r="B8" s="10">
        <v>9.8070000000000004</v>
      </c>
      <c r="C8" t="s">
        <v>13</v>
      </c>
      <c r="F8" s="30" t="s">
        <v>21</v>
      </c>
      <c r="G8" s="165" t="s">
        <v>26</v>
      </c>
      <c r="H8" s="166"/>
      <c r="I8" s="167"/>
      <c r="N8" s="16"/>
      <c r="O8" s="89"/>
    </row>
    <row r="9" spans="1:29" ht="16.5" thickTop="1" x14ac:dyDescent="0.25">
      <c r="F9" s="107" t="s">
        <v>21</v>
      </c>
      <c r="G9" s="165" t="s">
        <v>86</v>
      </c>
      <c r="H9" s="166"/>
      <c r="I9" s="167"/>
    </row>
    <row r="11" spans="1:29" ht="15.75" x14ac:dyDescent="0.25">
      <c r="A11" s="95" t="s">
        <v>73</v>
      </c>
      <c r="P11" s="4"/>
    </row>
    <row r="12" spans="1:29" ht="15.75" thickBot="1" x14ac:dyDescent="0.3">
      <c r="A12" s="5"/>
      <c r="F12" s="5"/>
      <c r="G12" s="4"/>
    </row>
    <row r="13" spans="1:29" ht="23.45" customHeight="1" x14ac:dyDescent="0.25">
      <c r="A13" s="60" t="s">
        <v>67</v>
      </c>
      <c r="B13" s="23" t="s">
        <v>0</v>
      </c>
      <c r="C13" s="23" t="s">
        <v>1</v>
      </c>
      <c r="D13" s="23" t="s">
        <v>2</v>
      </c>
      <c r="E13" s="23" t="s">
        <v>34</v>
      </c>
      <c r="F13" s="19" t="s">
        <v>82</v>
      </c>
      <c r="G13" s="12" t="s">
        <v>24</v>
      </c>
      <c r="H13" s="12" t="s">
        <v>33</v>
      </c>
      <c r="I13" s="12" t="s">
        <v>32</v>
      </c>
      <c r="J13" s="12" t="s">
        <v>31</v>
      </c>
      <c r="K13" s="12" t="s">
        <v>30</v>
      </c>
      <c r="L13" s="19" t="s">
        <v>29</v>
      </c>
      <c r="M13" s="12" t="s">
        <v>3</v>
      </c>
      <c r="N13" s="12" t="s">
        <v>28</v>
      </c>
      <c r="O13" s="149" t="s">
        <v>39</v>
      </c>
      <c r="P13" s="19" t="s">
        <v>10</v>
      </c>
      <c r="Q13" s="19" t="s">
        <v>11</v>
      </c>
      <c r="R13" s="12" t="s">
        <v>12</v>
      </c>
      <c r="S13" s="12" t="s">
        <v>71</v>
      </c>
      <c r="T13" s="123"/>
      <c r="U13" s="123"/>
      <c r="V13" s="123"/>
      <c r="W13" s="123"/>
      <c r="X13" s="123"/>
      <c r="Y13" s="123"/>
      <c r="Z13" s="123"/>
      <c r="AA13" s="123"/>
      <c r="AB13" s="123"/>
      <c r="AC13" s="99"/>
    </row>
    <row r="14" spans="1:29" ht="23.45" customHeight="1" thickBot="1" x14ac:dyDescent="0.3">
      <c r="A14" s="5"/>
      <c r="B14" s="21" t="s">
        <v>9</v>
      </c>
      <c r="C14" s="21" t="s">
        <v>4</v>
      </c>
      <c r="D14" s="21" t="s">
        <v>5</v>
      </c>
      <c r="E14" s="21" t="s">
        <v>43</v>
      </c>
      <c r="F14" s="21" t="s">
        <v>8</v>
      </c>
      <c r="G14" s="21" t="s">
        <v>43</v>
      </c>
      <c r="H14" s="1"/>
      <c r="I14" s="21" t="s">
        <v>6</v>
      </c>
      <c r="J14" s="21"/>
      <c r="K14" s="21" t="s">
        <v>6</v>
      </c>
      <c r="L14" s="21" t="s">
        <v>6</v>
      </c>
      <c r="M14" s="20"/>
      <c r="N14" s="21" t="s">
        <v>6</v>
      </c>
      <c r="O14" s="169"/>
      <c r="P14" s="21" t="s">
        <v>7</v>
      </c>
      <c r="Q14" s="21" t="s">
        <v>7</v>
      </c>
      <c r="R14" s="22"/>
      <c r="S14" s="21" t="s">
        <v>6</v>
      </c>
      <c r="T14" s="33"/>
      <c r="U14" s="33"/>
      <c r="V14" s="33"/>
      <c r="W14" s="33"/>
      <c r="X14" s="33"/>
      <c r="Y14" s="33"/>
      <c r="Z14" s="33"/>
      <c r="AA14" s="33"/>
      <c r="AB14" s="33"/>
      <c r="AC14" s="100"/>
    </row>
    <row r="15" spans="1:29" ht="47.1" customHeight="1" thickBot="1" x14ac:dyDescent="0.3">
      <c r="A15" s="64"/>
      <c r="B15" s="6"/>
      <c r="C15" s="6"/>
      <c r="D15" s="6"/>
      <c r="E15" s="96" t="s">
        <v>76</v>
      </c>
      <c r="F15" s="17"/>
      <c r="G15" s="18"/>
      <c r="H15" s="18"/>
      <c r="I15" s="18"/>
      <c r="J15" s="25" t="s">
        <v>37</v>
      </c>
      <c r="K15" s="25" t="s">
        <v>38</v>
      </c>
      <c r="L15" s="25" t="s">
        <v>36</v>
      </c>
      <c r="M15" s="27" t="s">
        <v>25</v>
      </c>
      <c r="N15" s="25" t="s">
        <v>35</v>
      </c>
      <c r="O15" s="29" t="s">
        <v>42</v>
      </c>
      <c r="P15" s="24" t="s">
        <v>27</v>
      </c>
      <c r="Q15" s="28" t="s">
        <v>40</v>
      </c>
      <c r="R15" s="28" t="s">
        <v>41</v>
      </c>
      <c r="S15" s="18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1:29" ht="23.45" customHeight="1" thickTop="1" thickBot="1" x14ac:dyDescent="0.3">
      <c r="A16" s="75" t="s">
        <v>75</v>
      </c>
      <c r="B16" s="103" t="s">
        <v>74</v>
      </c>
      <c r="C16" s="70">
        <v>524.41</v>
      </c>
      <c r="D16" s="38">
        <v>0.04</v>
      </c>
      <c r="E16" s="39">
        <f>(((PI()*(0.0254*4)^2)/4)*D16)*10000</f>
        <v>3.2429278662239853</v>
      </c>
      <c r="F16" s="39">
        <f>(0.098067*C16)/E16</f>
        <v>15.858297683901666</v>
      </c>
      <c r="G16" s="40">
        <f>(0.098067*C16)/($B$5*$B$8)</f>
        <v>2.0015036568364861</v>
      </c>
      <c r="H16" s="41">
        <f>(E16-G16)/G16</f>
        <v>0.62024578628532478</v>
      </c>
      <c r="I16" s="42">
        <f>H16/(1+H16)</f>
        <v>0.38280968945294308</v>
      </c>
      <c r="J16" s="41">
        <f>($B$3-I16)/($B$3-$B$4)</f>
        <v>0.59836840326434437</v>
      </c>
      <c r="K16" s="42">
        <f>0.4764-((0.4764-0.2595)*J16)</f>
        <v>0.34661389333196369</v>
      </c>
      <c r="L16" s="42">
        <f>(($B$3/(1-$B$3))-(I16/(1-I16)))/(($B$3/(1-$B$3))-($B$4/(1-$B$4)))</f>
        <v>0.64633592269022111</v>
      </c>
      <c r="M16" s="43">
        <f>((L16-0.21)/0.54)*(0.9767-0.9733)+0.9733</f>
        <v>0.97604730025397546</v>
      </c>
      <c r="N16" s="42">
        <f>(8*SIN((90-P16)*PI()/180)-((4/3)*PI()))/(8*SIN((90-P16)*PI()/180))</f>
        <v>0.34661390455232349</v>
      </c>
      <c r="O16" s="59">
        <f>K16/N16</f>
        <v>0.99999996762865062</v>
      </c>
      <c r="P16" s="41">
        <v>36.739640539919456</v>
      </c>
      <c r="Q16" s="41">
        <f>ATAN(TAN(P16*PI()/180)*((SIN(60*PI()/180)-SIN(P16*PI()/180))/(COS(P16*PI()/180)-COS(60*PI()/180))))*180/PI()</f>
        <v>33.561734369613028</v>
      </c>
      <c r="R16" s="41">
        <f>(SQRT(3/4)-SIN(P16*PI()/180))/(2*COS(P16*PI()/180)-1)</f>
        <v>0.44439196416520466</v>
      </c>
      <c r="S16" s="98">
        <f>F16/$B$6</f>
        <v>0.92414322167259122</v>
      </c>
      <c r="T16" s="133"/>
      <c r="U16" s="133"/>
      <c r="V16" s="133"/>
      <c r="W16" s="133"/>
      <c r="X16" s="133"/>
      <c r="Y16" s="133"/>
      <c r="Z16" s="133"/>
      <c r="AA16" s="133"/>
      <c r="AB16" s="133"/>
      <c r="AC16" s="102"/>
    </row>
    <row r="17" spans="1:41" ht="23.45" customHeight="1" thickTop="1" thickBot="1" x14ac:dyDescent="0.3">
      <c r="A17" s="76" t="s">
        <v>68</v>
      </c>
      <c r="B17" s="97">
        <v>589.61</v>
      </c>
      <c r="C17" s="72">
        <v>517.52</v>
      </c>
      <c r="D17" s="45">
        <v>3.9E-2</v>
      </c>
      <c r="E17" s="46">
        <f>(((PI()*(0.0254*4)^2)/4)*D17)*10000</f>
        <v>3.1618546695683856</v>
      </c>
      <c r="F17" s="39">
        <f>(0.098067*C17)/E17</f>
        <v>16.051222824522778</v>
      </c>
      <c r="G17" s="40">
        <f t="shared" ref="G17:G19" si="0">(0.098067*C17)/($B$5*$B$8)</f>
        <v>1.9752067513701459</v>
      </c>
      <c r="H17" s="41">
        <f t="shared" ref="H17:H19" si="1">(E17-G17)/G17</f>
        <v>0.60077149765466076</v>
      </c>
      <c r="I17" s="42">
        <f t="shared" ref="I17:I19" si="2">H17/(1+H17)</f>
        <v>0.37530122102677954</v>
      </c>
      <c r="J17" s="41">
        <f t="shared" ref="J17:J19" si="3">($B$3-I17)/($B$3-$B$4)</f>
        <v>0.65931949990026018</v>
      </c>
      <c r="K17" s="42">
        <f t="shared" ref="K17:K19" si="4">0.4764-((0.4764-0.2595)*J17)</f>
        <v>0.33339360047163358</v>
      </c>
      <c r="L17" s="42">
        <f>(($B$3/(1-$B$3))-(I17/(1-I17)))/(($B$3/(1-$B$3))-($B$4/(1-$B$4)))</f>
        <v>0.70361324219217403</v>
      </c>
      <c r="M17" s="43">
        <f t="shared" ref="M17:M19" si="5">((L17-0.21)/0.54)*(0.9767-0.9733)+0.9733</f>
        <v>0.97640793522861746</v>
      </c>
      <c r="N17" s="42">
        <f t="shared" ref="N17:N19" si="6">(8*SIN((90-P17)*PI()/180)-((4/3)*PI()))/(8*SIN((90-P17)*PI()/180))</f>
        <v>0.33339360402959256</v>
      </c>
      <c r="O17" s="59">
        <f t="shared" ref="O17:O19" si="7">K17/N17</f>
        <v>0.99999998932805267</v>
      </c>
      <c r="P17" s="47">
        <v>38.235907985000161</v>
      </c>
      <c r="Q17" s="41">
        <f t="shared" ref="Q17:Q19" si="8">ATAN(TAN(P17*PI()/180)*((SIN(60*PI()/180)-SIN(P17*PI()/180))/(COS(P17*PI()/180)-COS(60*PI()/180))))*180/PI()</f>
        <v>34.297937369648352</v>
      </c>
      <c r="R17" s="41">
        <f t="shared" ref="R17:R19" si="9">(SQRT(3/4)-SIN(P17*PI()/180))/(2*COS(P17*PI()/180)-1)</f>
        <v>0.43283941934708686</v>
      </c>
      <c r="S17" s="98">
        <f t="shared" ref="S17:S19" si="10">F17/$B$6</f>
        <v>0.93538594548501042</v>
      </c>
      <c r="T17" s="133"/>
      <c r="U17" s="133"/>
      <c r="V17" s="133"/>
      <c r="W17" s="133"/>
      <c r="X17" s="133"/>
      <c r="Y17" s="133"/>
      <c r="Z17" s="133"/>
      <c r="AA17" s="133"/>
      <c r="AB17" s="133"/>
      <c r="AC17" s="104"/>
      <c r="AD17" s="105"/>
      <c r="AE17" s="106"/>
    </row>
    <row r="18" spans="1:41" ht="23.45" customHeight="1" thickTop="1" thickBot="1" x14ac:dyDescent="0.3">
      <c r="A18" s="76" t="s">
        <v>72</v>
      </c>
      <c r="B18" s="97">
        <v>1346.03</v>
      </c>
      <c r="C18" s="72">
        <v>556.57000000000005</v>
      </c>
      <c r="D18" s="45">
        <v>4.1000000000000002E-2</v>
      </c>
      <c r="E18" s="46">
        <f t="shared" ref="E18:E19" si="11">(((PI()*(0.0254*4)^2)/4)*D18)*10000</f>
        <v>3.3240010628795846</v>
      </c>
      <c r="F18" s="39">
        <f>(0.098067*C18)/E18</f>
        <v>16.420316707936401</v>
      </c>
      <c r="G18" s="40">
        <f t="shared" si="0"/>
        <v>2.1242479935269794</v>
      </c>
      <c r="H18" s="41">
        <f t="shared" si="1"/>
        <v>0.56478955047080182</v>
      </c>
      <c r="I18" s="42">
        <f t="shared" si="2"/>
        <v>0.36093642771379214</v>
      </c>
      <c r="J18" s="41">
        <f t="shared" si="3"/>
        <v>0.77592782208804023</v>
      </c>
      <c r="K18" s="42">
        <f t="shared" si="4"/>
        <v>0.30810125538910405</v>
      </c>
      <c r="L18" s="42">
        <f>(($B$3/(1-$B$3))-(I18/(1-I18)))/(($B$3/(1-$B$3))-($B$4/(1-$B$4)))</f>
        <v>0.80944249861528861</v>
      </c>
      <c r="M18" s="43">
        <f t="shared" si="5"/>
        <v>0.97707426758387406</v>
      </c>
      <c r="N18" s="42">
        <f t="shared" si="6"/>
        <v>0.30810121279869562</v>
      </c>
      <c r="O18" s="59">
        <f t="shared" si="7"/>
        <v>1.0000001382351209</v>
      </c>
      <c r="P18" s="47">
        <v>40.820929884039387</v>
      </c>
      <c r="Q18" s="41">
        <f t="shared" si="8"/>
        <v>35.539881575659365</v>
      </c>
      <c r="R18" s="41">
        <f t="shared" si="9"/>
        <v>0.41348217226502954</v>
      </c>
      <c r="S18" s="98">
        <f t="shared" si="10"/>
        <v>0.95689491304990681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04"/>
      <c r="AD18" s="105"/>
      <c r="AE18" s="106"/>
    </row>
    <row r="19" spans="1:41" ht="23.45" customHeight="1" thickTop="1" thickBot="1" x14ac:dyDescent="0.3">
      <c r="A19" s="76" t="s">
        <v>69</v>
      </c>
      <c r="B19" s="97">
        <v>2787.23</v>
      </c>
      <c r="C19" s="72">
        <v>636.04999999999995</v>
      </c>
      <c r="D19" s="45">
        <v>4.4999999999999998E-2</v>
      </c>
      <c r="E19" s="46">
        <f t="shared" si="11"/>
        <v>3.6482938495019837</v>
      </c>
      <c r="F19" s="39">
        <f>(0.098067*C19)/E19</f>
        <v>17.097174164990758</v>
      </c>
      <c r="G19" s="40">
        <f t="shared" si="0"/>
        <v>2.4275974922881844</v>
      </c>
      <c r="H19" s="41">
        <f t="shared" si="1"/>
        <v>0.5028413322602362</v>
      </c>
      <c r="I19" s="42">
        <f t="shared" si="2"/>
        <v>0.33459376014364417</v>
      </c>
      <c r="J19" s="41">
        <f t="shared" si="3"/>
        <v>0.98976830001041782</v>
      </c>
      <c r="K19" s="42">
        <f t="shared" si="4"/>
        <v>0.26171925572774035</v>
      </c>
      <c r="L19" s="42">
        <f>(($B$3/(1-$B$3))-(I19/(1-I19)))/(($B$3/(1-$B$3))-($B$4/(1-$B$4)))</f>
        <v>0.99164314041107005</v>
      </c>
      <c r="M19" s="43">
        <f t="shared" si="5"/>
        <v>0.97822145680999562</v>
      </c>
      <c r="N19" s="42">
        <f t="shared" si="6"/>
        <v>0.2617192591388991</v>
      </c>
      <c r="O19" s="59">
        <f t="shared" si="7"/>
        <v>0.99999998696634418</v>
      </c>
      <c r="P19" s="47">
        <v>44.829028670916323</v>
      </c>
      <c r="Q19" s="41">
        <f t="shared" si="8"/>
        <v>37.420334828922975</v>
      </c>
      <c r="R19" s="41">
        <f t="shared" si="9"/>
        <v>0.38485009623879668</v>
      </c>
      <c r="S19" s="98">
        <f t="shared" si="10"/>
        <v>0.99633882080365721</v>
      </c>
      <c r="T19" s="133"/>
      <c r="U19" s="133"/>
      <c r="V19" s="133"/>
      <c r="W19" s="133"/>
      <c r="X19" s="133"/>
      <c r="Y19" s="133"/>
      <c r="Z19" s="133"/>
      <c r="AA19" s="133"/>
      <c r="AB19" s="133"/>
      <c r="AC19" s="104"/>
      <c r="AD19" s="105"/>
      <c r="AE19" s="106"/>
    </row>
    <row r="20" spans="1:41" ht="15.75" thickTop="1" x14ac:dyDescent="0.25"/>
    <row r="21" spans="1:41" x14ac:dyDescent="0.25">
      <c r="O21" s="26"/>
    </row>
    <row r="22" spans="1:41" ht="15.75" x14ac:dyDescent="0.25">
      <c r="A22" s="95" t="s">
        <v>79</v>
      </c>
    </row>
    <row r="23" spans="1:41" ht="15.75" thickBot="1" x14ac:dyDescent="0.3">
      <c r="A23" s="2"/>
      <c r="Q23" s="5"/>
      <c r="S23" s="128"/>
      <c r="T23" s="128"/>
      <c r="U23" s="128"/>
      <c r="V23" s="128"/>
      <c r="W23" s="128"/>
      <c r="X23" s="128"/>
      <c r="Y23" s="128"/>
      <c r="Z23" s="128"/>
      <c r="AA23" s="128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</row>
    <row r="24" spans="1:41" ht="30.6" customHeight="1" thickBot="1" x14ac:dyDescent="0.3">
      <c r="A24" s="154" t="s">
        <v>61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6"/>
      <c r="L24" s="160" t="s">
        <v>70</v>
      </c>
      <c r="M24" s="161"/>
      <c r="N24" s="161"/>
      <c r="O24" s="161"/>
      <c r="P24" s="161"/>
      <c r="Q24" s="170"/>
      <c r="R24" s="146" t="s">
        <v>48</v>
      </c>
      <c r="S24" s="136"/>
      <c r="T24" s="100"/>
      <c r="U24" s="100"/>
      <c r="V24" s="100"/>
      <c r="W24" s="100"/>
      <c r="X24" s="100"/>
      <c r="Y24" s="100"/>
      <c r="Z24" s="100"/>
      <c r="AA24" s="100"/>
      <c r="AB24" s="111"/>
      <c r="AC24" s="111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</row>
    <row r="25" spans="1:41" ht="24.6" customHeight="1" x14ac:dyDescent="0.25">
      <c r="A25" s="144" t="s">
        <v>97</v>
      </c>
      <c r="B25" s="62" t="s">
        <v>85</v>
      </c>
      <c r="C25" s="171" t="s">
        <v>46</v>
      </c>
      <c r="D25" s="171"/>
      <c r="E25" s="171"/>
      <c r="F25" s="150" t="s">
        <v>84</v>
      </c>
      <c r="G25" s="150"/>
      <c r="H25" s="150"/>
      <c r="I25" s="150"/>
      <c r="J25" s="62" t="s">
        <v>59</v>
      </c>
      <c r="K25" s="63" t="s">
        <v>47</v>
      </c>
      <c r="L25" s="62" t="s">
        <v>62</v>
      </c>
      <c r="M25" s="62" t="s">
        <v>64</v>
      </c>
      <c r="N25" s="62" t="s">
        <v>65</v>
      </c>
      <c r="O25" s="62" t="s">
        <v>59</v>
      </c>
      <c r="P25" s="33" t="s">
        <v>39</v>
      </c>
      <c r="Q25" s="56" t="s">
        <v>47</v>
      </c>
      <c r="R25" s="147"/>
      <c r="S25" s="62" t="s">
        <v>10</v>
      </c>
      <c r="T25" s="12" t="s">
        <v>30</v>
      </c>
      <c r="U25" s="12" t="s">
        <v>94</v>
      </c>
      <c r="V25" s="19" t="s">
        <v>92</v>
      </c>
      <c r="W25" s="12" t="s">
        <v>31</v>
      </c>
      <c r="X25" s="12" t="s">
        <v>32</v>
      </c>
      <c r="Y25" s="12" t="s">
        <v>95</v>
      </c>
      <c r="Z25" s="19" t="s">
        <v>29</v>
      </c>
      <c r="AA25" s="62"/>
      <c r="AB25" s="124"/>
      <c r="AC25" s="111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</row>
    <row r="26" spans="1:41" ht="24.6" customHeight="1" thickBot="1" x14ac:dyDescent="0.3">
      <c r="A26" s="20" t="s">
        <v>55</v>
      </c>
      <c r="B26" s="22" t="s">
        <v>49</v>
      </c>
      <c r="C26" s="53" t="s">
        <v>50</v>
      </c>
      <c r="D26" s="53" t="s">
        <v>51</v>
      </c>
      <c r="E26" s="53" t="s">
        <v>52</v>
      </c>
      <c r="F26" s="54" t="s">
        <v>50</v>
      </c>
      <c r="G26" s="54" t="s">
        <v>51</v>
      </c>
      <c r="H26" s="54" t="s">
        <v>52</v>
      </c>
      <c r="I26" s="54" t="s">
        <v>53</v>
      </c>
      <c r="J26" s="20"/>
      <c r="K26" s="57"/>
      <c r="L26" s="21" t="s">
        <v>7</v>
      </c>
      <c r="M26" s="21" t="s">
        <v>7</v>
      </c>
      <c r="N26" s="7"/>
      <c r="O26" s="20"/>
      <c r="P26" s="21"/>
      <c r="Q26" s="57"/>
      <c r="R26" s="148"/>
      <c r="S26" s="120" t="s">
        <v>7</v>
      </c>
      <c r="T26" s="120" t="s">
        <v>6</v>
      </c>
      <c r="U26" s="1"/>
      <c r="V26" s="120" t="s">
        <v>6</v>
      </c>
      <c r="W26" s="120"/>
      <c r="X26" s="120" t="s">
        <v>6</v>
      </c>
      <c r="Y26" s="1"/>
      <c r="Z26" s="120" t="s">
        <v>6</v>
      </c>
      <c r="AA26" s="33"/>
      <c r="AB26" s="111"/>
      <c r="AC26" s="111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</row>
    <row r="27" spans="1:41" ht="47.1" customHeight="1" thickBot="1" x14ac:dyDescent="0.3">
      <c r="A27" s="34"/>
      <c r="B27" s="35"/>
      <c r="C27" s="36"/>
      <c r="D27" s="36"/>
      <c r="E27" s="36"/>
      <c r="F27" s="151" t="s">
        <v>57</v>
      </c>
      <c r="G27" s="152"/>
      <c r="H27" s="152"/>
      <c r="I27" s="153"/>
      <c r="J27" s="25" t="s">
        <v>58</v>
      </c>
      <c r="K27" s="61" t="s">
        <v>98</v>
      </c>
      <c r="L27" s="55" t="s">
        <v>63</v>
      </c>
      <c r="M27" s="28" t="s">
        <v>81</v>
      </c>
      <c r="N27" s="28" t="s">
        <v>66</v>
      </c>
      <c r="O27" s="25" t="s">
        <v>60</v>
      </c>
      <c r="P27" s="29" t="s">
        <v>42</v>
      </c>
      <c r="Q27" s="65" t="s">
        <v>27</v>
      </c>
      <c r="R27" s="37"/>
      <c r="S27" s="28" t="s">
        <v>81</v>
      </c>
      <c r="T27" s="122" t="s">
        <v>91</v>
      </c>
      <c r="U27" s="131"/>
      <c r="V27" s="24" t="s">
        <v>93</v>
      </c>
      <c r="W27" s="25" t="s">
        <v>38</v>
      </c>
      <c r="X27" s="25" t="s">
        <v>37</v>
      </c>
      <c r="Y27" s="131"/>
      <c r="Z27" s="25" t="s">
        <v>36</v>
      </c>
      <c r="AA27" s="100"/>
      <c r="AB27" s="125"/>
      <c r="AC27" s="111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</row>
    <row r="28" spans="1:41" ht="23.45" customHeight="1" thickTop="1" thickBot="1" x14ac:dyDescent="0.3">
      <c r="A28" s="44">
        <v>0</v>
      </c>
      <c r="B28" s="143">
        <v>24.056233359060823</v>
      </c>
      <c r="C28" s="69">
        <v>3.49</v>
      </c>
      <c r="D28" s="70">
        <v>3.49</v>
      </c>
      <c r="E28" s="70">
        <v>3.48</v>
      </c>
      <c r="F28" s="39">
        <f t="shared" ref="F28:F33" si="12">IF(OR(C28&lt;1, C28&gt;5),"OOR",0.4613*C28^4-4.5888*C28^3+17.011*C28^2-25.9*C28+20.428)</f>
        <v>10.605537300212976</v>
      </c>
      <c r="G28" s="39">
        <f>IF(OR(D28&lt;1,D28&gt;5),"OOR",0.2369*D28^4-1.9212*D28^3+5.8786*D28^2-6.675*D28+8.7908)</f>
        <v>10.574822171968989</v>
      </c>
      <c r="H28" s="39">
        <f>IF(OR(E28&lt;1,E28&gt;5),"OOR",0.6863*E28^4-7.1252*E28^3+27.31*E28^2-43.722*E28+31.447)</f>
        <v>10.397652375808004</v>
      </c>
      <c r="I28" s="39">
        <f t="shared" ref="I28:I33" si="13">IF(OR(F28="OOR",G28="OOR",H28="OOR"),"OOR",AVERAGE(F28:H28))</f>
        <v>10.52600394932999</v>
      </c>
      <c r="J28" s="48">
        <f t="shared" ref="J28:J33" si="14">IF(I28="OOR","OOR",I28/B28)</f>
        <v>0.43755827407474629</v>
      </c>
      <c r="K28" s="58">
        <f>$B$28/B28</f>
        <v>1</v>
      </c>
      <c r="L28" s="48">
        <f>ATAN(TAN($Q$16*PI()/180)/Q28)*180/PI()</f>
        <v>34.370389433878756</v>
      </c>
      <c r="M28" s="48">
        <f>ATAN(TAN($P$16*PI()/180)/Q28)*180/PI()</f>
        <v>37.579748983869329</v>
      </c>
      <c r="N28" s="48">
        <f>(SQRT(3/4)-SIN(M28*PI()/180))/(2*COS(M28*PI()/180)-1)</f>
        <v>0.43787301638833115</v>
      </c>
      <c r="O28" s="48">
        <f t="shared" ref="O28:O33" si="15">N28*Q28-N28*(Q28-1)*$M$16</f>
        <v>0.43755835946039595</v>
      </c>
      <c r="P28" s="59">
        <f t="shared" ref="P28:P33" si="16">(J28/O28)</f>
        <v>0.99999980485883122</v>
      </c>
      <c r="Q28" s="107">
        <v>0.9699990750324865</v>
      </c>
      <c r="R28" s="109">
        <f t="shared" ref="R28:R33" si="17">(Q28-K28)/K28</f>
        <v>-3.0000924967513498E-2</v>
      </c>
      <c r="S28" s="48">
        <f>ATAN(TAN(M28*PI()/180)*Q28)*180/PI()</f>
        <v>36.739640539919456</v>
      </c>
      <c r="T28" s="42">
        <f>IF(S28&gt;45,(8*SIN((S28)*PI()/180)-(4*PI()/3))/(8*SIN((S28)*PI()/180)),(8*SIN((90-S28)*PI()/180)-(4*PI()/3))/(8*SIN((90-S28)*PI()/180)))</f>
        <v>0.34661390455232349</v>
      </c>
      <c r="U28" s="130">
        <f>T28/(1-T28)</f>
        <v>0.5304886451782177</v>
      </c>
      <c r="V28" s="132">
        <f>(($C$3/(1-$C$3))-(U28))/(($C$3/(1-$C$3))-($C$4/(1-$C$4)))</f>
        <v>0.6781926195571566</v>
      </c>
      <c r="W28" s="130">
        <f>($C$3-T28)/($C$3-$C$4)</f>
        <v>0.59842444712837195</v>
      </c>
      <c r="X28" s="132">
        <f>$B$3-W28*($B$3-$B$4)</f>
        <v>0.3828027854986788</v>
      </c>
      <c r="Y28" s="130">
        <f>X28/(1-X28)</f>
        <v>0.62022766225212667</v>
      </c>
      <c r="Z28" s="132">
        <f>(($B$3/(1-$B$3))-(Y28))/(($B$3/(1-$B$3))-($B$4/(1-$B$4)))</f>
        <v>0.64638922867021553</v>
      </c>
      <c r="AA28" s="100"/>
      <c r="AB28" s="126"/>
      <c r="AC28" s="113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</row>
    <row r="29" spans="1:41" ht="23.45" customHeight="1" thickTop="1" thickBot="1" x14ac:dyDescent="0.3">
      <c r="A29" s="44">
        <v>1</v>
      </c>
      <c r="B29" s="44">
        <v>21.312896594571249</v>
      </c>
      <c r="C29" s="71">
        <v>3.33</v>
      </c>
      <c r="D29" s="72">
        <v>3.33</v>
      </c>
      <c r="E29" s="72">
        <v>3.34</v>
      </c>
      <c r="F29" s="39">
        <f t="shared" si="12"/>
        <v>10.091235605173001</v>
      </c>
      <c r="G29" s="39">
        <f t="shared" ref="G29:G33" si="18">IF(OR(D29&lt;1,D29&gt;5),"OOR",0.2369*D29^4-1.9212*D29^3+5.8786*D29^2-6.675*D29+8.7908)</f>
        <v>9.9380565460490082</v>
      </c>
      <c r="H29" s="39">
        <f t="shared" ref="H29:H33" si="19">IF(OR(E29&lt;1,E29&gt;5),"OOR",0.6863*E29^4-7.1252*E29^3+27.31*E29^2-43.722*E29+31.447)</f>
        <v>10.000371475567956</v>
      </c>
      <c r="I29" s="39">
        <f t="shared" si="13"/>
        <v>10.009887875596656</v>
      </c>
      <c r="J29" s="48">
        <f t="shared" si="14"/>
        <v>0.46966341863387734</v>
      </c>
      <c r="K29" s="58">
        <f t="shared" ref="K29:K33" si="20">$B$28/B29</f>
        <v>1.1287172183432048</v>
      </c>
      <c r="L29" s="48">
        <f t="shared" ref="L29:L33" si="21">ATAN(TAN($Q$16*PI()/180)/Q29)*180/PI()</f>
        <v>30.69937294351146</v>
      </c>
      <c r="M29" s="48">
        <f t="shared" ref="M29:M33" si="22">ATAN(TAN($P$16*PI()/180)/Q29)*180/PI()</f>
        <v>33.7444426165953</v>
      </c>
      <c r="N29" s="48">
        <f t="shared" ref="N29:N33" si="23">(SQRT(3/4)-SIN(M29*PI()/180))/(2*COS(M29*PI()/180)-1)</f>
        <v>0.46834662622211598</v>
      </c>
      <c r="O29" s="48">
        <f t="shared" si="15"/>
        <v>0.46966343369850266</v>
      </c>
      <c r="P29" s="59">
        <f t="shared" si="16"/>
        <v>0.99999996792463652</v>
      </c>
      <c r="Q29" s="107">
        <v>1.1173817059662199</v>
      </c>
      <c r="R29" s="109">
        <f t="shared" si="17"/>
        <v>-1.0042827550397294E-2</v>
      </c>
      <c r="S29" s="48">
        <f t="shared" ref="S29:S33" si="24">ATAN(TAN(M29*PI()/180)*Q29)*180/PI()</f>
        <v>36.739640539919456</v>
      </c>
      <c r="T29" s="42">
        <f t="shared" ref="T29:T33" si="25">IF(S29&gt;45,(8*SIN((S29)*PI()/180)-(4*PI()/3))/(8*SIN((S29)*PI()/180)),(8*SIN((90-S29)*PI()/180)-(4*PI()/3))/(8*SIN((90-S29)*PI()/180)))</f>
        <v>0.34661390455232349</v>
      </c>
      <c r="U29" s="130">
        <f t="shared" ref="U29:U33" si="26">T29/(1-T29)</f>
        <v>0.5304886451782177</v>
      </c>
      <c r="V29" s="132">
        <f t="shared" ref="V29:V33" si="27">(($C$3/(1-$C$3))-(U29))/(($C$3/(1-$C$3))-($C$4/(1-$C$4)))</f>
        <v>0.6781926195571566</v>
      </c>
      <c r="W29" s="130">
        <f t="shared" ref="W29:W33" si="28">($C$3-T29)/($C$3-$C$4)</f>
        <v>0.59842444712837195</v>
      </c>
      <c r="X29" s="132">
        <f t="shared" ref="X29:X33" si="29">$B$3-W29*($B$3-$B$4)</f>
        <v>0.3828027854986788</v>
      </c>
      <c r="Y29" s="130">
        <f t="shared" ref="Y29:Y33" si="30">X29/(1-X29)</f>
        <v>0.62022766225212667</v>
      </c>
      <c r="Z29" s="132">
        <f t="shared" ref="Z29:Z33" si="31">(($B$3/(1-$B$3))-(Y29))/(($B$3/(1-$B$3))-($B$4/(1-$B$4)))</f>
        <v>0.64638922867021553</v>
      </c>
      <c r="AA29" s="100"/>
      <c r="AB29" s="126"/>
      <c r="AC29" s="113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</row>
    <row r="30" spans="1:41" ht="23.45" customHeight="1" thickTop="1" thickBot="1" x14ac:dyDescent="0.3">
      <c r="A30" s="44">
        <v>2</v>
      </c>
      <c r="B30" s="44">
        <v>18.569559830081673</v>
      </c>
      <c r="C30" s="71">
        <v>2.9</v>
      </c>
      <c r="D30" s="72">
        <v>3.13</v>
      </c>
      <c r="E30" s="72">
        <v>3.12</v>
      </c>
      <c r="F30" s="39">
        <f t="shared" si="12"/>
        <v>9.0911393300000078</v>
      </c>
      <c r="G30" s="39">
        <f t="shared" si="18"/>
        <v>9.3153431762089944</v>
      </c>
      <c r="H30" s="39">
        <f t="shared" si="19"/>
        <v>9.5118260423679963</v>
      </c>
      <c r="I30" s="39">
        <f t="shared" si="13"/>
        <v>9.3061028495256668</v>
      </c>
      <c r="J30" s="48">
        <f t="shared" si="14"/>
        <v>0.50114827355521308</v>
      </c>
      <c r="K30" s="58">
        <f t="shared" si="20"/>
        <v>1.2954659980734189</v>
      </c>
      <c r="L30" s="48">
        <f t="shared" si="21"/>
        <v>27.400117245463584</v>
      </c>
      <c r="M30" s="48">
        <f t="shared" si="22"/>
        <v>30.251438051518623</v>
      </c>
      <c r="N30" s="48">
        <f t="shared" si="23"/>
        <v>0.49781058958268759</v>
      </c>
      <c r="O30" s="48">
        <f t="shared" si="15"/>
        <v>0.50114799236175889</v>
      </c>
      <c r="P30" s="59">
        <f t="shared" si="16"/>
        <v>1.0000005610986344</v>
      </c>
      <c r="Q30" s="107">
        <v>1.2798917012677142</v>
      </c>
      <c r="R30" s="109">
        <f t="shared" si="17"/>
        <v>-1.2022157917588204E-2</v>
      </c>
      <c r="S30" s="48">
        <f t="shared" si="24"/>
        <v>36.739640539919456</v>
      </c>
      <c r="T30" s="42">
        <f t="shared" si="25"/>
        <v>0.34661390455232349</v>
      </c>
      <c r="U30" s="130">
        <f t="shared" si="26"/>
        <v>0.5304886451782177</v>
      </c>
      <c r="V30" s="132">
        <f t="shared" si="27"/>
        <v>0.6781926195571566</v>
      </c>
      <c r="W30" s="130">
        <f t="shared" si="28"/>
        <v>0.59842444712837195</v>
      </c>
      <c r="X30" s="132">
        <f t="shared" si="29"/>
        <v>0.3828027854986788</v>
      </c>
      <c r="Y30" s="130">
        <f t="shared" si="30"/>
        <v>0.62022766225212667</v>
      </c>
      <c r="Z30" s="132">
        <f t="shared" si="31"/>
        <v>0.64638922867021553</v>
      </c>
      <c r="AA30" s="129"/>
      <c r="AB30" s="126"/>
      <c r="AC30" s="113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</row>
    <row r="31" spans="1:41" ht="23.45" customHeight="1" thickTop="1" thickBot="1" x14ac:dyDescent="0.3">
      <c r="A31" s="44">
        <v>3</v>
      </c>
      <c r="B31" s="44">
        <v>15.771356330302298</v>
      </c>
      <c r="C31" s="71">
        <v>2.63</v>
      </c>
      <c r="D31" s="71">
        <v>2.62</v>
      </c>
      <c r="E31" s="71">
        <v>2.63</v>
      </c>
      <c r="F31" s="39">
        <f t="shared" si="12"/>
        <v>8.5676830442930019</v>
      </c>
      <c r="G31" s="39">
        <f t="shared" si="18"/>
        <v>8.2658274119839952</v>
      </c>
      <c r="H31" s="39">
        <f t="shared" si="19"/>
        <v>8.5759787357429751</v>
      </c>
      <c r="I31" s="39">
        <f t="shared" si="13"/>
        <v>8.4698297306733235</v>
      </c>
      <c r="J31" s="48">
        <f t="shared" si="14"/>
        <v>0.5370387652962868</v>
      </c>
      <c r="K31" s="58">
        <f t="shared" si="20"/>
        <v>1.5253116380891334</v>
      </c>
      <c r="L31" s="48">
        <f t="shared" si="21"/>
        <v>23.972791788106086</v>
      </c>
      <c r="M31" s="48">
        <f t="shared" si="22"/>
        <v>26.578862382789914</v>
      </c>
      <c r="N31" s="48">
        <f t="shared" si="23"/>
        <v>0.53078323968713359</v>
      </c>
      <c r="O31" s="48">
        <f t="shared" si="15"/>
        <v>0.53703848303825485</v>
      </c>
      <c r="P31" s="59">
        <f t="shared" si="16"/>
        <v>1.0000005255825064</v>
      </c>
      <c r="Q31" s="107">
        <v>1.4920084238680915</v>
      </c>
      <c r="R31" s="109">
        <f t="shared" si="17"/>
        <v>-2.1833711478634745E-2</v>
      </c>
      <c r="S31" s="48">
        <f t="shared" si="24"/>
        <v>36.739640539919463</v>
      </c>
      <c r="T31" s="42">
        <f t="shared" si="25"/>
        <v>0.34661390455232349</v>
      </c>
      <c r="U31" s="130">
        <f t="shared" si="26"/>
        <v>0.5304886451782177</v>
      </c>
      <c r="V31" s="132">
        <f t="shared" si="27"/>
        <v>0.6781926195571566</v>
      </c>
      <c r="W31" s="130">
        <f t="shared" si="28"/>
        <v>0.59842444712837195</v>
      </c>
      <c r="X31" s="132">
        <f t="shared" si="29"/>
        <v>0.3828027854986788</v>
      </c>
      <c r="Y31" s="130">
        <f t="shared" si="30"/>
        <v>0.62022766225212667</v>
      </c>
      <c r="Z31" s="132">
        <f t="shared" si="31"/>
        <v>0.64638922867021553</v>
      </c>
      <c r="AA31" s="129"/>
      <c r="AB31" s="126"/>
      <c r="AC31" s="113"/>
      <c r="AD31" s="114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</row>
    <row r="32" spans="1:41" ht="23.45" customHeight="1" thickTop="1" thickBot="1" x14ac:dyDescent="0.3">
      <c r="A32" s="44">
        <v>4</v>
      </c>
      <c r="B32" s="44">
        <v>13.028019565812722</v>
      </c>
      <c r="C32" s="71">
        <v>2.25</v>
      </c>
      <c r="D32" s="71">
        <v>2.2400000000000002</v>
      </c>
      <c r="E32" s="71">
        <v>2.25</v>
      </c>
      <c r="F32" s="39">
        <f t="shared" si="12"/>
        <v>7.8245019531249902</v>
      </c>
      <c r="G32" s="39">
        <f t="shared" si="18"/>
        <v>7.706349753344</v>
      </c>
      <c r="H32" s="39">
        <f t="shared" si="19"/>
        <v>7.7580121093749703</v>
      </c>
      <c r="I32" s="39">
        <f t="shared" si="13"/>
        <v>7.7629546052813199</v>
      </c>
      <c r="J32" s="48">
        <f t="shared" si="14"/>
        <v>0.59586605362893053</v>
      </c>
      <c r="K32" s="58">
        <f t="shared" si="20"/>
        <v>1.8464996339265272</v>
      </c>
      <c r="L32" s="48">
        <f t="shared" si="21"/>
        <v>19.052537409601673</v>
      </c>
      <c r="M32" s="48">
        <f t="shared" si="22"/>
        <v>21.234567620373284</v>
      </c>
      <c r="N32" s="48">
        <f t="shared" si="23"/>
        <v>0.5830039904940385</v>
      </c>
      <c r="O32" s="48">
        <f t="shared" si="15"/>
        <v>0.5958657939344143</v>
      </c>
      <c r="P32" s="59">
        <f t="shared" si="16"/>
        <v>1.0000004358271928</v>
      </c>
      <c r="Q32" s="107">
        <v>1.9210344407557209</v>
      </c>
      <c r="R32" s="109">
        <f t="shared" si="17"/>
        <v>4.0365459846151017E-2</v>
      </c>
      <c r="S32" s="48">
        <f t="shared" si="24"/>
        <v>36.739640539919449</v>
      </c>
      <c r="T32" s="42">
        <f t="shared" si="25"/>
        <v>0.34661390455232355</v>
      </c>
      <c r="U32" s="130">
        <f t="shared" si="26"/>
        <v>0.5304886451782177</v>
      </c>
      <c r="V32" s="132">
        <f t="shared" si="27"/>
        <v>0.6781926195571566</v>
      </c>
      <c r="W32" s="130">
        <f t="shared" si="28"/>
        <v>0.59842444712837173</v>
      </c>
      <c r="X32" s="132">
        <f t="shared" si="29"/>
        <v>0.38280278549867885</v>
      </c>
      <c r="Y32" s="130">
        <f t="shared" si="30"/>
        <v>0.62022766225212678</v>
      </c>
      <c r="Z32" s="132">
        <f t="shared" si="31"/>
        <v>0.6463892286702152</v>
      </c>
      <c r="AA32" s="129"/>
      <c r="AB32" s="126"/>
      <c r="AC32" s="113"/>
      <c r="AD32" s="114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ht="23.45" customHeight="1" thickTop="1" thickBot="1" x14ac:dyDescent="0.3">
      <c r="A33" s="44">
        <v>5</v>
      </c>
      <c r="B33" s="44">
        <v>10.065215860163974</v>
      </c>
      <c r="C33" s="71">
        <v>1.45</v>
      </c>
      <c r="D33" s="71">
        <v>1.44</v>
      </c>
      <c r="E33" s="71">
        <v>1.46</v>
      </c>
      <c r="F33" s="39">
        <f t="shared" si="12"/>
        <v>6.6882766331250032</v>
      </c>
      <c r="G33" s="39">
        <f t="shared" si="18"/>
        <v>6.6506191370239991</v>
      </c>
      <c r="H33" s="39">
        <f t="shared" si="19"/>
        <v>6.7706386205279863</v>
      </c>
      <c r="I33" s="39">
        <f t="shared" si="13"/>
        <v>6.7031781302256626</v>
      </c>
      <c r="J33" s="48">
        <f t="shared" si="14"/>
        <v>0.66597460236848416</v>
      </c>
      <c r="K33" s="58">
        <f t="shared" si="20"/>
        <v>2.3900365072417751</v>
      </c>
      <c r="L33" s="48">
        <f t="shared" si="21"/>
        <v>14.209485896234012</v>
      </c>
      <c r="M33" s="48">
        <f t="shared" si="22"/>
        <v>15.902284111883617</v>
      </c>
      <c r="N33" s="48">
        <f t="shared" si="23"/>
        <v>0.64109690577068967</v>
      </c>
      <c r="O33" s="48">
        <f t="shared" si="15"/>
        <v>0.66597439780336831</v>
      </c>
      <c r="P33" s="59">
        <f t="shared" si="16"/>
        <v>1.0000003071666366</v>
      </c>
      <c r="Q33" s="107">
        <v>2.6200500971284315</v>
      </c>
      <c r="R33" s="109">
        <f t="shared" si="17"/>
        <v>9.6238525725326235E-2</v>
      </c>
      <c r="S33" s="48">
        <f t="shared" si="24"/>
        <v>36.739640539919456</v>
      </c>
      <c r="T33" s="42">
        <f t="shared" si="25"/>
        <v>0.34661390455232349</v>
      </c>
      <c r="U33" s="130">
        <f t="shared" si="26"/>
        <v>0.5304886451782177</v>
      </c>
      <c r="V33" s="132">
        <f t="shared" si="27"/>
        <v>0.6781926195571566</v>
      </c>
      <c r="W33" s="130">
        <f t="shared" si="28"/>
        <v>0.59842444712837195</v>
      </c>
      <c r="X33" s="132">
        <f t="shared" si="29"/>
        <v>0.3828027854986788</v>
      </c>
      <c r="Y33" s="130">
        <f t="shared" si="30"/>
        <v>0.62022766225212667</v>
      </c>
      <c r="Z33" s="132">
        <f t="shared" si="31"/>
        <v>0.64638922867021553</v>
      </c>
      <c r="AA33" s="100"/>
      <c r="AB33" s="126"/>
      <c r="AC33" s="113"/>
      <c r="AD33" s="114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</row>
    <row r="34" spans="1:41" ht="23.45" customHeight="1" thickTop="1" x14ac:dyDescent="0.25">
      <c r="A34" s="49"/>
      <c r="B34" s="50"/>
      <c r="C34" s="51"/>
      <c r="D34" s="51"/>
      <c r="E34" s="51"/>
      <c r="F34" s="50"/>
      <c r="G34" s="50"/>
      <c r="H34" s="50"/>
      <c r="I34" s="50"/>
      <c r="J34" s="52"/>
      <c r="K34" s="52"/>
      <c r="Q34" s="84" t="s">
        <v>54</v>
      </c>
      <c r="R34" s="109" t="str">
        <f>TEXT(ROUND(AVERAGE(R28:R33),2),"0.0%") &amp; " (+/-" &amp;TEXT(ROUND(STDEV(R28:R33),2),"0.0%")&amp; ")"</f>
        <v>1.0% (+/-5.0%)</v>
      </c>
      <c r="S34" s="127"/>
      <c r="T34" s="127"/>
      <c r="U34" s="127"/>
      <c r="V34" s="127"/>
      <c r="W34" s="127"/>
      <c r="X34" s="127"/>
      <c r="Y34" s="127"/>
      <c r="Z34" s="127"/>
      <c r="AA34" s="127"/>
      <c r="AB34" s="113"/>
      <c r="AC34" s="115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</row>
    <row r="35" spans="1:41" x14ac:dyDescent="0.25">
      <c r="S35" s="128"/>
      <c r="T35" s="128"/>
      <c r="U35" s="128"/>
      <c r="V35" s="128"/>
      <c r="W35" s="128"/>
      <c r="X35" s="128"/>
      <c r="Y35" s="128"/>
      <c r="Z35" s="128"/>
      <c r="AA35" s="128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</row>
    <row r="36" spans="1:41" ht="15.75" x14ac:dyDescent="0.25">
      <c r="A36" s="95" t="s">
        <v>78</v>
      </c>
      <c r="S36" s="128"/>
      <c r="T36" s="128"/>
      <c r="U36" s="128"/>
      <c r="V36" s="128"/>
      <c r="W36" s="128"/>
      <c r="X36" s="128"/>
      <c r="Y36" s="128"/>
      <c r="Z36" s="128"/>
      <c r="AA36" s="128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</row>
    <row r="37" spans="1:41" ht="15.75" thickBot="1" x14ac:dyDescent="0.3">
      <c r="S37" s="128"/>
      <c r="T37" s="128"/>
      <c r="U37" s="128"/>
      <c r="V37" s="128"/>
      <c r="W37" s="128"/>
      <c r="X37" s="128"/>
      <c r="Y37" s="128"/>
      <c r="Z37" s="128"/>
      <c r="AA37" s="128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</row>
    <row r="38" spans="1:41" ht="30.6" customHeight="1" thickBot="1" x14ac:dyDescent="0.3">
      <c r="A38" s="154" t="s">
        <v>61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60" t="s">
        <v>70</v>
      </c>
      <c r="L38" s="161"/>
      <c r="M38" s="161"/>
      <c r="N38" s="161"/>
      <c r="O38" s="161"/>
      <c r="P38" s="161"/>
      <c r="Q38" s="161"/>
      <c r="R38" s="146" t="s">
        <v>48</v>
      </c>
      <c r="S38" s="136"/>
      <c r="T38" s="100"/>
      <c r="U38" s="100"/>
      <c r="V38" s="100"/>
      <c r="W38" s="100"/>
      <c r="X38" s="100"/>
      <c r="Y38" s="100"/>
      <c r="Z38" s="100"/>
      <c r="AA38" s="100"/>
      <c r="AB38" s="111"/>
      <c r="AC38" s="111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</row>
    <row r="39" spans="1:41" ht="24.6" customHeight="1" x14ac:dyDescent="0.25">
      <c r="A39" s="144" t="s">
        <v>97</v>
      </c>
      <c r="B39" s="62" t="s">
        <v>85</v>
      </c>
      <c r="C39" s="149" t="s">
        <v>46</v>
      </c>
      <c r="D39" s="149"/>
      <c r="E39" s="149"/>
      <c r="F39" s="150" t="s">
        <v>84</v>
      </c>
      <c r="G39" s="150"/>
      <c r="H39" s="150"/>
      <c r="I39" s="150"/>
      <c r="J39" s="56" t="s">
        <v>59</v>
      </c>
      <c r="K39" s="62" t="s">
        <v>62</v>
      </c>
      <c r="L39" s="62" t="s">
        <v>64</v>
      </c>
      <c r="M39" s="62" t="s">
        <v>65</v>
      </c>
      <c r="N39" s="62" t="s">
        <v>59</v>
      </c>
      <c r="O39" s="33" t="s">
        <v>39</v>
      </c>
      <c r="P39" s="62" t="s">
        <v>47</v>
      </c>
      <c r="Q39" s="62" t="s">
        <v>83</v>
      </c>
      <c r="R39" s="147"/>
      <c r="S39" s="62" t="s">
        <v>10</v>
      </c>
      <c r="T39" s="12" t="s">
        <v>30</v>
      </c>
      <c r="U39" s="12" t="s">
        <v>94</v>
      </c>
      <c r="V39" s="19" t="s">
        <v>92</v>
      </c>
      <c r="W39" s="12" t="s">
        <v>31</v>
      </c>
      <c r="X39" s="12" t="s">
        <v>32</v>
      </c>
      <c r="Y39" s="12" t="s">
        <v>95</v>
      </c>
      <c r="Z39" s="19" t="s">
        <v>29</v>
      </c>
      <c r="AA39" s="100"/>
      <c r="AB39" s="111"/>
      <c r="AC39" s="111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</row>
    <row r="40" spans="1:41" ht="24.6" customHeight="1" thickBot="1" x14ac:dyDescent="0.3">
      <c r="A40" s="20" t="s">
        <v>55</v>
      </c>
      <c r="B40" s="20" t="s">
        <v>49</v>
      </c>
      <c r="C40" s="22" t="s">
        <v>50</v>
      </c>
      <c r="D40" s="53" t="s">
        <v>51</v>
      </c>
      <c r="E40" s="53" t="s">
        <v>52</v>
      </c>
      <c r="F40" s="54" t="s">
        <v>50</v>
      </c>
      <c r="G40" s="54" t="s">
        <v>51</v>
      </c>
      <c r="H40" s="54" t="s">
        <v>52</v>
      </c>
      <c r="I40" s="54" t="s">
        <v>53</v>
      </c>
      <c r="J40" s="74"/>
      <c r="K40" s="66" t="s">
        <v>7</v>
      </c>
      <c r="L40" s="21" t="s">
        <v>7</v>
      </c>
      <c r="M40" s="31"/>
      <c r="N40" s="20"/>
      <c r="O40" s="21"/>
      <c r="P40" s="20"/>
      <c r="Q40" s="20" t="s">
        <v>49</v>
      </c>
      <c r="R40" s="148"/>
      <c r="S40" s="120" t="s">
        <v>7</v>
      </c>
      <c r="T40" s="120" t="s">
        <v>6</v>
      </c>
      <c r="U40" s="1"/>
      <c r="V40" s="120" t="s">
        <v>6</v>
      </c>
      <c r="W40" s="120"/>
      <c r="X40" s="120" t="s">
        <v>6</v>
      </c>
      <c r="Y40" s="1"/>
      <c r="Z40" s="120" t="s">
        <v>6</v>
      </c>
      <c r="AA40" s="100"/>
      <c r="AB40" s="111"/>
      <c r="AC40" s="111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</row>
    <row r="41" spans="1:41" ht="47.1" customHeight="1" thickBot="1" x14ac:dyDescent="0.3">
      <c r="A41" s="34"/>
      <c r="B41" s="35"/>
      <c r="C41" s="36"/>
      <c r="D41" s="36"/>
      <c r="E41" s="36"/>
      <c r="F41" s="151" t="s">
        <v>57</v>
      </c>
      <c r="G41" s="152"/>
      <c r="H41" s="152"/>
      <c r="I41" s="152"/>
      <c r="J41" s="61" t="s">
        <v>58</v>
      </c>
      <c r="K41" s="55" t="s">
        <v>63</v>
      </c>
      <c r="L41" s="28" t="s">
        <v>81</v>
      </c>
      <c r="M41" s="78" t="s">
        <v>66</v>
      </c>
      <c r="N41" s="79" t="s">
        <v>60</v>
      </c>
      <c r="O41" s="80" t="s">
        <v>42</v>
      </c>
      <c r="P41" s="77" t="s">
        <v>27</v>
      </c>
      <c r="Q41" s="25" t="s">
        <v>98</v>
      </c>
      <c r="R41" s="145"/>
      <c r="S41" s="28" t="s">
        <v>81</v>
      </c>
      <c r="T41" s="122" t="s">
        <v>91</v>
      </c>
      <c r="U41" s="131"/>
      <c r="V41" s="24" t="s">
        <v>93</v>
      </c>
      <c r="W41" s="25" t="s">
        <v>38</v>
      </c>
      <c r="X41" s="25" t="s">
        <v>37</v>
      </c>
      <c r="Y41" s="131"/>
      <c r="Z41" s="25" t="s">
        <v>36</v>
      </c>
      <c r="AA41" s="100"/>
      <c r="AB41" s="111"/>
      <c r="AC41" s="111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</row>
    <row r="42" spans="1:41" ht="23.45" customHeight="1" thickTop="1" thickBot="1" x14ac:dyDescent="0.3">
      <c r="A42" s="44">
        <v>0</v>
      </c>
      <c r="B42" s="143">
        <v>24.056233359060823</v>
      </c>
      <c r="C42" s="69">
        <v>4.42</v>
      </c>
      <c r="D42" s="70">
        <v>4.3899999999999997</v>
      </c>
      <c r="E42" s="70">
        <v>4.42</v>
      </c>
      <c r="F42" s="39">
        <f t="shared" ref="F42:F48" si="32">IF(OR(C42&lt;1, C42&gt;5),"OOR",0.4613*C42^4-4.5888*C42^3+17.011*C42^2-25.9*C42+20.428)</f>
        <v>18.101543229648048</v>
      </c>
      <c r="G42" s="39">
        <f t="shared" ref="G42:G48" si="33">IF(OR(D42&lt;1,D42&gt;5),"OOR",0.2369*D42^4-1.9212*D42^3+5.8786*D42^2-6.675*D42+8.7908)</f>
        <v>18.226253476528985</v>
      </c>
      <c r="H42" s="39">
        <f t="shared" ref="H42:H48" si="34">IF(OR(E42&lt;1,E42&gt;5),"OOR",0.6863*E42^4-7.1252*E42^3+27.31*E42^2-43.722*E42+31.447)</f>
        <v>18.408252622447943</v>
      </c>
      <c r="I42" s="39">
        <f t="shared" ref="I42:I48" si="35">IF(OR(F42="OOR",G42="OOR",H42="OOR"),"OOR",AVERAGE(F42:H42))</f>
        <v>18.245349776208325</v>
      </c>
      <c r="J42" s="58">
        <f t="shared" ref="J42:J48" si="36">IF(I42="OOR","OOR",I42/B42)</f>
        <v>0.75844582582319287</v>
      </c>
      <c r="K42" s="48">
        <f>ATAN(TAN($Q$17*PI()/180)/P42)*180/PI()</f>
        <v>9.2533866195665677</v>
      </c>
      <c r="L42" s="48">
        <f>ATAN(TAN($P$17*PI()/180)/P42)*180/PI()</f>
        <v>10.658411919042498</v>
      </c>
      <c r="M42" s="48">
        <f>(SQRT(3/4)-SIN(L42*PI()/180))/(2*COS(L42*PI()/180)-1)</f>
        <v>0.70541260471677836</v>
      </c>
      <c r="N42" s="48">
        <f>M42*P42-M42*(P42-1)*$M$17</f>
        <v>0.75844606829375127</v>
      </c>
      <c r="O42" s="59">
        <f>(J42/N42)</f>
        <v>0.99999968030613051</v>
      </c>
      <c r="P42" s="48">
        <v>4.1866973850619535</v>
      </c>
      <c r="Q42" s="107">
        <f>P42*B42</f>
        <v>100.71616929882008</v>
      </c>
      <c r="R42" s="109">
        <f t="shared" ref="R42:R48" si="37">(AVERAGE($Q$42:$Q$48)-Q42)/AVERAGE($Q$42:$Q$48)</f>
        <v>8.3033942982115201E-3</v>
      </c>
      <c r="S42" s="48">
        <f>ATAN(TAN(L42*PI()/180)*P42)*180/PI()</f>
        <v>38.235907985000161</v>
      </c>
      <c r="T42" s="42">
        <f>IF(S42&gt;45,(8*SIN((S42)*PI()/180)-(4*PI()/3))/(8*SIN((S42)*PI()/180)),(8*SIN((90-S42)*PI()/180)-(4*PI()/3))/(8*SIN((90-S42)*PI()/180)))</f>
        <v>0.33339360402959256</v>
      </c>
      <c r="U42" s="130">
        <f>T42/(1-T42)</f>
        <v>0.50013562132757106</v>
      </c>
      <c r="V42" s="132">
        <f>(($C$3/(1-$C$3))-(U42))/(($C$3/(1-$C$3))-($C$4/(1-$C$4)))</f>
        <v>0.73245405376956774</v>
      </c>
      <c r="W42" s="130">
        <f>($C$3-T42)/($C$3-$C$4)</f>
        <v>0.65938071805196885</v>
      </c>
      <c r="X42" s="132">
        <f>$B$3-W42*($B$3-$B$4)</f>
        <v>0.37529367966026472</v>
      </c>
      <c r="Y42" s="130">
        <f>X42/(1-X42)</f>
        <v>0.60075217336710796</v>
      </c>
      <c r="Z42" s="132">
        <f>((($B$3/(1-$B$3))-(X42/(1-X42)))/(($B$3/(1-$B$3))-($B$4/(1-$B$4))))</f>
        <v>0.70367007833203521</v>
      </c>
      <c r="AA42" s="129"/>
      <c r="AB42" s="112"/>
      <c r="AC42" s="113"/>
      <c r="AD42" s="110"/>
      <c r="AE42" s="110"/>
      <c r="AF42" s="116"/>
      <c r="AG42" s="117"/>
      <c r="AH42" s="110"/>
      <c r="AI42" s="110"/>
      <c r="AJ42" s="110"/>
      <c r="AK42" s="110"/>
      <c r="AL42" s="110"/>
      <c r="AM42" s="110"/>
      <c r="AN42" s="110"/>
      <c r="AO42" s="110"/>
    </row>
    <row r="43" spans="1:41" ht="23.45" customHeight="1" thickTop="1" thickBot="1" x14ac:dyDescent="0.3">
      <c r="A43" s="44">
        <v>1</v>
      </c>
      <c r="B43" s="44">
        <v>21.312896594571249</v>
      </c>
      <c r="C43" s="71">
        <v>4.34</v>
      </c>
      <c r="D43" s="72">
        <v>4.32</v>
      </c>
      <c r="E43" s="72">
        <v>4.29</v>
      </c>
      <c r="F43" s="39">
        <f t="shared" si="32"/>
        <v>16.975968405967951</v>
      </c>
      <c r="G43" s="39">
        <f t="shared" si="33"/>
        <v>17.282185862143997</v>
      </c>
      <c r="H43" s="39">
        <f t="shared" si="34"/>
        <v>16.392767137902919</v>
      </c>
      <c r="I43" s="39">
        <f t="shared" si="35"/>
        <v>16.883640468671626</v>
      </c>
      <c r="J43" s="58">
        <f t="shared" si="36"/>
        <v>0.79217953288302312</v>
      </c>
      <c r="K43" s="48">
        <f t="shared" ref="K43:K48" si="38">ATAN(TAN($Q$17*PI()/180)/P43)*180/PI()</f>
        <v>7.9341956769535633</v>
      </c>
      <c r="L43" s="48">
        <f t="shared" ref="L43:L48" si="39">ATAN(TAN($P$17*PI()/180)/P43)*180/PI()</f>
        <v>9.1458462820854489</v>
      </c>
      <c r="M43" s="48">
        <f t="shared" ref="M43:M48" si="40">(SQRT(3/4)-SIN(L43*PI()/180))/(2*COS(L43*PI()/180)-1)</f>
        <v>0.72552456804410548</v>
      </c>
      <c r="N43" s="48">
        <f t="shared" ref="N43:N48" si="41">M43*P43-M43*(P43-1)*$M$17</f>
        <v>0.79217976936435397</v>
      </c>
      <c r="O43" s="59">
        <f t="shared" ref="O43:O48" si="42">(J43/N43)</f>
        <v>0.99999970148021955</v>
      </c>
      <c r="P43" s="48">
        <v>4.8941795275904507</v>
      </c>
      <c r="Q43" s="107">
        <f t="shared" ref="Q43:Q48" si="43">P43*B43</f>
        <v>104.30914218680284</v>
      </c>
      <c r="R43" s="109">
        <f t="shared" si="37"/>
        <v>-2.7074629331930722E-2</v>
      </c>
      <c r="S43" s="48">
        <f t="shared" ref="S43:S48" si="44">ATAN(TAN(L43*PI()/180)*P43)*180/PI()</f>
        <v>38.235907985000161</v>
      </c>
      <c r="T43" s="42">
        <f t="shared" ref="T43:T48" si="45">IF(S43&gt;45,(8*SIN((S43)*PI()/180)-(4*PI()/3))/(8*SIN((S43)*PI()/180)),(8*SIN((90-S43)*PI()/180)-(4*PI()/3))/(8*SIN((90-S43)*PI()/180)))</f>
        <v>0.33339360402959256</v>
      </c>
      <c r="U43" s="130">
        <f t="shared" ref="U43:U48" si="46">T43/(1-T43)</f>
        <v>0.50013562132757106</v>
      </c>
      <c r="V43" s="132">
        <f t="shared" ref="V43:V48" si="47">(($C$3/(1-$C$3))-(U43))/(($C$3/(1-$C$3))-($C$4/(1-$C$4)))</f>
        <v>0.73245405376956774</v>
      </c>
      <c r="W43" s="130">
        <f t="shared" ref="W43:W48" si="48">($C$3-T43)/($C$3-$C$4)</f>
        <v>0.65938071805196885</v>
      </c>
      <c r="X43" s="132">
        <f t="shared" ref="X43:X48" si="49">$B$3-W43*($B$3-$B$4)</f>
        <v>0.37529367966026472</v>
      </c>
      <c r="Y43" s="130">
        <f t="shared" ref="Y43:Y48" si="50">X43/(1-X43)</f>
        <v>0.60075217336710796</v>
      </c>
      <c r="Z43" s="132">
        <f t="shared" ref="Z43:Z48" si="51">((($B$3/(1-$B$3))-(X43/(1-X43)))/(($B$3/(1-$B$3))-($B$4/(1-$B$4))))</f>
        <v>0.70367007833203521</v>
      </c>
      <c r="AA43" s="129"/>
      <c r="AB43" s="112"/>
      <c r="AC43" s="113"/>
      <c r="AD43" s="110"/>
      <c r="AE43" s="110"/>
      <c r="AF43" s="116"/>
      <c r="AG43" s="118"/>
      <c r="AH43" s="119"/>
      <c r="AI43" s="110"/>
      <c r="AJ43" s="110"/>
      <c r="AK43" s="110"/>
      <c r="AL43" s="110"/>
      <c r="AM43" s="110"/>
      <c r="AN43" s="110"/>
      <c r="AO43" s="110"/>
    </row>
    <row r="44" spans="1:41" ht="23.45" customHeight="1" thickTop="1" thickBot="1" x14ac:dyDescent="0.3">
      <c r="A44" s="44">
        <v>2</v>
      </c>
      <c r="B44" s="44">
        <v>18.569559830081673</v>
      </c>
      <c r="C44" s="71">
        <v>4.18</v>
      </c>
      <c r="D44" s="72">
        <v>4.18</v>
      </c>
      <c r="E44" s="72">
        <v>4.1500000000000004</v>
      </c>
      <c r="F44" s="39">
        <f t="shared" si="32"/>
        <v>15.075537678287947</v>
      </c>
      <c r="G44" s="39">
        <f t="shared" si="33"/>
        <v>15.610375702543973</v>
      </c>
      <c r="H44" s="39">
        <f t="shared" si="34"/>
        <v>14.651619089375</v>
      </c>
      <c r="I44" s="39">
        <f t="shared" si="35"/>
        <v>15.112510823402308</v>
      </c>
      <c r="J44" s="58">
        <f t="shared" si="36"/>
        <v>0.81383247431211947</v>
      </c>
      <c r="K44" s="48">
        <f t="shared" si="38"/>
        <v>7.1916401728617467</v>
      </c>
      <c r="L44" s="48">
        <f t="shared" si="39"/>
        <v>8.2930176819049297</v>
      </c>
      <c r="M44" s="48">
        <f t="shared" si="40"/>
        <v>0.73720719222534326</v>
      </c>
      <c r="N44" s="48">
        <f t="shared" si="41"/>
        <v>0.81383267634116319</v>
      </c>
      <c r="O44" s="59">
        <f t="shared" si="42"/>
        <v>0.99999975175604328</v>
      </c>
      <c r="P44" s="48">
        <v>5.4057283518165953</v>
      </c>
      <c r="Q44" s="107">
        <f t="shared" si="43"/>
        <v>100.38199605422706</v>
      </c>
      <c r="R44" s="109">
        <f t="shared" si="37"/>
        <v>1.1593814045968265E-2</v>
      </c>
      <c r="S44" s="48">
        <f t="shared" si="44"/>
        <v>38.235907985000161</v>
      </c>
      <c r="T44" s="42">
        <f t="shared" si="45"/>
        <v>0.33339360402959256</v>
      </c>
      <c r="U44" s="130">
        <f t="shared" si="46"/>
        <v>0.50013562132757106</v>
      </c>
      <c r="V44" s="132">
        <f t="shared" si="47"/>
        <v>0.73245405376956774</v>
      </c>
      <c r="W44" s="130">
        <f t="shared" si="48"/>
        <v>0.65938071805196885</v>
      </c>
      <c r="X44" s="132">
        <f t="shared" si="49"/>
        <v>0.37529367966026472</v>
      </c>
      <c r="Y44" s="130">
        <f t="shared" si="50"/>
        <v>0.60075217336710796</v>
      </c>
      <c r="Z44" s="132">
        <f t="shared" si="51"/>
        <v>0.70367007833203521</v>
      </c>
      <c r="AA44" s="129"/>
      <c r="AB44" s="112"/>
      <c r="AC44" s="113"/>
      <c r="AD44" s="110"/>
      <c r="AE44" s="110"/>
      <c r="AF44" s="116"/>
      <c r="AG44" s="116"/>
      <c r="AH44" s="110"/>
      <c r="AI44" s="110"/>
      <c r="AJ44" s="110"/>
      <c r="AK44" s="110"/>
      <c r="AL44" s="110"/>
      <c r="AM44" s="110"/>
      <c r="AN44" s="110"/>
      <c r="AO44" s="110"/>
    </row>
    <row r="45" spans="1:41" ht="23.45" customHeight="1" thickTop="1" thickBot="1" x14ac:dyDescent="0.3">
      <c r="A45" s="44">
        <v>3</v>
      </c>
      <c r="B45" s="44">
        <v>15.771356330302298</v>
      </c>
      <c r="C45" s="71">
        <v>3.89</v>
      </c>
      <c r="D45" s="72">
        <v>4.1399999999999997</v>
      </c>
      <c r="E45" s="72">
        <v>4.05</v>
      </c>
      <c r="F45" s="39">
        <f t="shared" si="32"/>
        <v>12.603312806932994</v>
      </c>
      <c r="G45" s="39">
        <f t="shared" si="33"/>
        <v>15.181889452304009</v>
      </c>
      <c r="H45" s="39">
        <f t="shared" si="34"/>
        <v>13.640777239375037</v>
      </c>
      <c r="I45" s="39">
        <f t="shared" si="35"/>
        <v>13.80865983287068</v>
      </c>
      <c r="J45" s="58">
        <f t="shared" si="36"/>
        <v>0.87555309408230209</v>
      </c>
      <c r="K45" s="48">
        <f t="shared" si="38"/>
        <v>5.4784704135590419</v>
      </c>
      <c r="L45" s="48">
        <f t="shared" si="39"/>
        <v>6.3220993696271623</v>
      </c>
      <c r="M45" s="48">
        <f t="shared" si="40"/>
        <v>0.76521494670607415</v>
      </c>
      <c r="N45" s="48">
        <f t="shared" si="41"/>
        <v>0.87555307722002951</v>
      </c>
      <c r="O45" s="59">
        <f t="shared" si="42"/>
        <v>1.0000000192589953</v>
      </c>
      <c r="P45" s="48">
        <v>7.1118997910587369</v>
      </c>
      <c r="Q45" s="107">
        <f t="shared" si="43"/>
        <v>112.1643057901898</v>
      </c>
      <c r="R45" s="109">
        <f t="shared" si="37"/>
        <v>-0.10442009567506273</v>
      </c>
      <c r="S45" s="48">
        <f t="shared" si="44"/>
        <v>38.235907985000161</v>
      </c>
      <c r="T45" s="42">
        <f t="shared" si="45"/>
        <v>0.33339360402959256</v>
      </c>
      <c r="U45" s="130">
        <f t="shared" si="46"/>
        <v>0.50013562132757106</v>
      </c>
      <c r="V45" s="132">
        <f t="shared" si="47"/>
        <v>0.73245405376956774</v>
      </c>
      <c r="W45" s="130">
        <f t="shared" si="48"/>
        <v>0.65938071805196885</v>
      </c>
      <c r="X45" s="132">
        <f t="shared" si="49"/>
        <v>0.37529367966026472</v>
      </c>
      <c r="Y45" s="130">
        <f t="shared" si="50"/>
        <v>0.60075217336710796</v>
      </c>
      <c r="Z45" s="132">
        <f t="shared" si="51"/>
        <v>0.70367007833203521</v>
      </c>
      <c r="AA45" s="129"/>
      <c r="AB45" s="112"/>
      <c r="AC45" s="113"/>
      <c r="AD45" s="110"/>
      <c r="AE45" s="110"/>
      <c r="AF45" s="116"/>
      <c r="AG45" s="116"/>
      <c r="AH45" s="110"/>
      <c r="AI45" s="110"/>
      <c r="AJ45" s="110"/>
      <c r="AK45" s="110"/>
      <c r="AL45" s="110"/>
      <c r="AM45" s="110"/>
      <c r="AN45" s="110"/>
      <c r="AO45" s="110"/>
    </row>
    <row r="46" spans="1:41" ht="23.45" customHeight="1" thickTop="1" thickBot="1" x14ac:dyDescent="0.3">
      <c r="A46" s="44">
        <v>4</v>
      </c>
      <c r="B46" s="44">
        <v>13.028019565812722</v>
      </c>
      <c r="C46" s="71">
        <v>3.76</v>
      </c>
      <c r="D46" s="72">
        <v>3.77</v>
      </c>
      <c r="E46" s="72">
        <v>3.76</v>
      </c>
      <c r="F46" s="39">
        <f t="shared" si="32"/>
        <v>11.810977394688027</v>
      </c>
      <c r="G46" s="39">
        <f t="shared" si="33"/>
        <v>12.090395526928983</v>
      </c>
      <c r="H46" s="39">
        <f t="shared" si="34"/>
        <v>11.565171404288005</v>
      </c>
      <c r="I46" s="39">
        <f t="shared" si="35"/>
        <v>11.82218144196834</v>
      </c>
      <c r="J46" s="58">
        <f t="shared" si="36"/>
        <v>0.90744271470019411</v>
      </c>
      <c r="K46" s="48">
        <f t="shared" si="38"/>
        <v>4.7964346647572169</v>
      </c>
      <c r="L46" s="48">
        <f t="shared" si="39"/>
        <v>5.536346936585697</v>
      </c>
      <c r="M46" s="48">
        <f t="shared" si="40"/>
        <v>0.7767954140279737</v>
      </c>
      <c r="N46" s="48">
        <f t="shared" si="41"/>
        <v>0.9074427748691587</v>
      </c>
      <c r="O46" s="59">
        <f t="shared" si="42"/>
        <v>0.99999993369392948</v>
      </c>
      <c r="P46" s="48">
        <v>8.1289905049662075</v>
      </c>
      <c r="Q46" s="107">
        <f t="shared" si="43"/>
        <v>105.90464734900559</v>
      </c>
      <c r="R46" s="109">
        <f t="shared" si="37"/>
        <v>-4.2784689243380081E-2</v>
      </c>
      <c r="S46" s="48">
        <f t="shared" si="44"/>
        <v>38.235907985000161</v>
      </c>
      <c r="T46" s="42">
        <f t="shared" si="45"/>
        <v>0.33339360402959256</v>
      </c>
      <c r="U46" s="130">
        <f t="shared" si="46"/>
        <v>0.50013562132757106</v>
      </c>
      <c r="V46" s="132">
        <f t="shared" si="47"/>
        <v>0.73245405376956774</v>
      </c>
      <c r="W46" s="130">
        <f t="shared" si="48"/>
        <v>0.65938071805196885</v>
      </c>
      <c r="X46" s="132">
        <f t="shared" si="49"/>
        <v>0.37529367966026472</v>
      </c>
      <c r="Y46" s="130">
        <f t="shared" si="50"/>
        <v>0.60075217336710796</v>
      </c>
      <c r="Z46" s="132">
        <f t="shared" si="51"/>
        <v>0.70367007833203521</v>
      </c>
      <c r="AA46" s="129"/>
      <c r="AB46" s="112"/>
      <c r="AC46" s="113"/>
      <c r="AD46" s="110"/>
      <c r="AE46" s="110"/>
      <c r="AF46" s="116"/>
      <c r="AG46" s="116"/>
      <c r="AH46" s="110"/>
      <c r="AI46" s="110"/>
      <c r="AJ46" s="110"/>
      <c r="AK46" s="110"/>
      <c r="AL46" s="110"/>
      <c r="AM46" s="110"/>
      <c r="AN46" s="110"/>
      <c r="AO46" s="110"/>
    </row>
    <row r="47" spans="1:41" ht="23.45" customHeight="1" thickTop="1" thickBot="1" x14ac:dyDescent="0.3">
      <c r="A47" s="44">
        <v>5</v>
      </c>
      <c r="B47" s="44">
        <v>10.065215860163974</v>
      </c>
      <c r="C47" s="71">
        <v>2.9</v>
      </c>
      <c r="D47" s="72">
        <v>3.23</v>
      </c>
      <c r="E47" s="72">
        <v>3.22</v>
      </c>
      <c r="F47" s="39">
        <f t="shared" si="32"/>
        <v>9.0911393300000078</v>
      </c>
      <c r="G47" s="39">
        <f t="shared" si="33"/>
        <v>9.6057612105289962</v>
      </c>
      <c r="H47" s="39">
        <f t="shared" si="34"/>
        <v>9.7192717981279451</v>
      </c>
      <c r="I47" s="39">
        <f t="shared" si="35"/>
        <v>9.472057446218983</v>
      </c>
      <c r="J47" s="58">
        <f t="shared" si="36"/>
        <v>0.94106848554608868</v>
      </c>
      <c r="K47" s="48">
        <f t="shared" si="38"/>
        <v>4.1997059792994342</v>
      </c>
      <c r="L47" s="48">
        <f t="shared" si="39"/>
        <v>4.8484450337512621</v>
      </c>
      <c r="M47" s="48">
        <f t="shared" si="40"/>
        <v>0.78713818282589942</v>
      </c>
      <c r="N47" s="48">
        <f t="shared" si="41"/>
        <v>0.94106856738318267</v>
      </c>
      <c r="O47" s="59">
        <f t="shared" si="42"/>
        <v>0.99999991303811775</v>
      </c>
      <c r="P47" s="48">
        <v>9.2891008323369864</v>
      </c>
      <c r="Q47" s="107">
        <f t="shared" si="43"/>
        <v>93.496805024300613</v>
      </c>
      <c r="R47" s="109">
        <f t="shared" si="37"/>
        <v>7.9388495093934322E-2</v>
      </c>
      <c r="S47" s="48">
        <f t="shared" si="44"/>
        <v>38.235907985000161</v>
      </c>
      <c r="T47" s="42">
        <f t="shared" si="45"/>
        <v>0.33339360402959256</v>
      </c>
      <c r="U47" s="130">
        <f t="shared" si="46"/>
        <v>0.50013562132757106</v>
      </c>
      <c r="V47" s="132">
        <f t="shared" si="47"/>
        <v>0.73245405376956774</v>
      </c>
      <c r="W47" s="130">
        <f t="shared" si="48"/>
        <v>0.65938071805196885</v>
      </c>
      <c r="X47" s="132">
        <f t="shared" si="49"/>
        <v>0.37529367966026472</v>
      </c>
      <c r="Y47" s="130">
        <f t="shared" si="50"/>
        <v>0.60075217336710796</v>
      </c>
      <c r="Z47" s="132">
        <f t="shared" si="51"/>
        <v>0.70367007833203521</v>
      </c>
      <c r="AA47" s="129"/>
      <c r="AB47" s="112"/>
      <c r="AC47" s="113"/>
      <c r="AD47" s="110"/>
      <c r="AE47" s="110"/>
      <c r="AF47" s="116"/>
      <c r="AG47" s="116"/>
      <c r="AH47" s="110"/>
      <c r="AI47" s="110"/>
      <c r="AJ47" s="110"/>
      <c r="AK47" s="110"/>
      <c r="AL47" s="110"/>
      <c r="AM47" s="110"/>
      <c r="AN47" s="110"/>
      <c r="AO47" s="110"/>
    </row>
    <row r="48" spans="1:41" ht="23.45" customHeight="1" thickTop="1" thickBot="1" x14ac:dyDescent="0.3">
      <c r="A48" s="44">
        <v>6</v>
      </c>
      <c r="B48" s="143">
        <v>7.3767458309641896</v>
      </c>
      <c r="C48" s="69">
        <v>1.76</v>
      </c>
      <c r="D48" s="70">
        <v>2.29</v>
      </c>
      <c r="E48" s="70">
        <v>2.4</v>
      </c>
      <c r="F48" s="39">
        <f t="shared" si="32"/>
        <v>6.9463954042880012</v>
      </c>
      <c r="G48" s="39">
        <f t="shared" si="33"/>
        <v>7.7762351346889993</v>
      </c>
      <c r="H48" s="39">
        <f t="shared" si="34"/>
        <v>8.0908220799999917</v>
      </c>
      <c r="I48" s="39">
        <f t="shared" si="35"/>
        <v>7.6044842063256644</v>
      </c>
      <c r="J48" s="58">
        <f t="shared" si="36"/>
        <v>1.0308724714908211</v>
      </c>
      <c r="K48" s="48">
        <f t="shared" si="38"/>
        <v>3.065888082436445</v>
      </c>
      <c r="L48" s="48">
        <f t="shared" si="39"/>
        <v>3.5404708372020965</v>
      </c>
      <c r="M48" s="48">
        <f t="shared" si="40"/>
        <v>0.80735363301329577</v>
      </c>
      <c r="N48" s="48">
        <f t="shared" si="41"/>
        <v>1.0308725313761649</v>
      </c>
      <c r="O48" s="59">
        <f t="shared" si="42"/>
        <v>0.99999994190810015</v>
      </c>
      <c r="P48" s="81">
        <v>12.735037790990683</v>
      </c>
      <c r="Q48" s="107">
        <f t="shared" si="43"/>
        <v>93.943136931861929</v>
      </c>
      <c r="R48" s="109">
        <f t="shared" si="37"/>
        <v>7.4993710812259431E-2</v>
      </c>
      <c r="S48" s="48">
        <f t="shared" si="44"/>
        <v>38.235907985000161</v>
      </c>
      <c r="T48" s="42">
        <f t="shared" si="45"/>
        <v>0.33339360402959256</v>
      </c>
      <c r="U48" s="130">
        <f t="shared" si="46"/>
        <v>0.50013562132757106</v>
      </c>
      <c r="V48" s="132">
        <f t="shared" si="47"/>
        <v>0.73245405376956774</v>
      </c>
      <c r="W48" s="130">
        <f t="shared" si="48"/>
        <v>0.65938071805196885</v>
      </c>
      <c r="X48" s="132">
        <f t="shared" si="49"/>
        <v>0.37529367966026472</v>
      </c>
      <c r="Y48" s="130">
        <f t="shared" si="50"/>
        <v>0.60075217336710796</v>
      </c>
      <c r="Z48" s="132">
        <f t="shared" si="51"/>
        <v>0.70367007833203521</v>
      </c>
      <c r="AA48" s="92"/>
      <c r="AB48" s="112"/>
      <c r="AC48" s="113"/>
      <c r="AD48" s="110"/>
      <c r="AE48" s="110"/>
      <c r="AF48" s="116"/>
      <c r="AG48" s="116"/>
      <c r="AH48" s="110"/>
      <c r="AI48" s="110"/>
      <c r="AJ48" s="110"/>
      <c r="AK48" s="110"/>
      <c r="AL48" s="110"/>
      <c r="AM48" s="110"/>
      <c r="AN48" s="110"/>
      <c r="AO48" s="110"/>
    </row>
    <row r="49" spans="1:43" ht="23.45" customHeight="1" thickTop="1" x14ac:dyDescent="0.25">
      <c r="B49" s="7"/>
      <c r="C49" s="7"/>
      <c r="D49" s="67"/>
      <c r="E49" s="67"/>
      <c r="F49" s="68"/>
      <c r="G49" s="68"/>
      <c r="H49" s="68"/>
      <c r="I49" s="68"/>
      <c r="J49" s="68"/>
      <c r="K49" s="73"/>
      <c r="L49" s="32"/>
      <c r="M49" s="4"/>
      <c r="N49" s="4"/>
      <c r="P49" s="83" t="s">
        <v>54</v>
      </c>
      <c r="Q49" s="108" t="str">
        <f>ROUND(AVERAGE(Q42:Q48),2) &amp; " (" &amp;ROUND(STDEV(Q42:Q48),2)&amp; ")"</f>
        <v>101.56 (6.63)</v>
      </c>
      <c r="R49" s="109" t="str">
        <f>"+/-"&amp;TEXT(ROUND(STDEV(R42:R48),2),"0.0%")</f>
        <v>+/-7.0%</v>
      </c>
      <c r="S49" s="92"/>
      <c r="T49" s="92"/>
      <c r="U49" s="92"/>
      <c r="V49" s="92"/>
      <c r="W49" s="92"/>
      <c r="X49" s="92"/>
      <c r="Y49" s="92"/>
      <c r="Z49" s="92"/>
      <c r="AA49" s="92"/>
      <c r="AB49" s="112"/>
      <c r="AC49" s="115"/>
      <c r="AD49" s="110"/>
      <c r="AE49" s="110"/>
      <c r="AF49" s="116"/>
      <c r="AG49" s="110"/>
      <c r="AH49" s="110"/>
      <c r="AI49" s="110"/>
      <c r="AJ49" s="110"/>
      <c r="AK49" s="110"/>
      <c r="AL49" s="110"/>
      <c r="AM49" s="110"/>
      <c r="AN49" s="110"/>
      <c r="AO49" s="110"/>
    </row>
    <row r="50" spans="1:43" x14ac:dyDescent="0.25"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</row>
    <row r="51" spans="1:43" ht="15.75" x14ac:dyDescent="0.25">
      <c r="A51" s="95" t="s">
        <v>77</v>
      </c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</row>
    <row r="52" spans="1:43" ht="15.75" thickBot="1" x14ac:dyDescent="0.3"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</row>
    <row r="53" spans="1:43" ht="30.6" customHeight="1" thickBot="1" x14ac:dyDescent="0.3">
      <c r="A53" s="154" t="s">
        <v>61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60" t="s">
        <v>70</v>
      </c>
      <c r="L53" s="161"/>
      <c r="M53" s="161"/>
      <c r="N53" s="161"/>
      <c r="O53" s="161"/>
      <c r="P53" s="161"/>
      <c r="Q53" s="161"/>
      <c r="R53" s="146" t="s">
        <v>48</v>
      </c>
      <c r="S53" s="5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37"/>
      <c r="AQ53" s="137"/>
    </row>
    <row r="54" spans="1:43" ht="24.6" customHeight="1" x14ac:dyDescent="0.25">
      <c r="A54" s="144" t="s">
        <v>97</v>
      </c>
      <c r="B54" s="62" t="s">
        <v>85</v>
      </c>
      <c r="C54" s="149" t="s">
        <v>46</v>
      </c>
      <c r="D54" s="149"/>
      <c r="E54" s="149"/>
      <c r="F54" s="150" t="s">
        <v>84</v>
      </c>
      <c r="G54" s="150"/>
      <c r="H54" s="150"/>
      <c r="I54" s="150"/>
      <c r="J54" s="56" t="s">
        <v>59</v>
      </c>
      <c r="K54" s="62" t="s">
        <v>62</v>
      </c>
      <c r="L54" s="62" t="s">
        <v>64</v>
      </c>
      <c r="M54" s="62" t="s">
        <v>65</v>
      </c>
      <c r="N54" s="62" t="s">
        <v>59</v>
      </c>
      <c r="O54" s="33" t="s">
        <v>39</v>
      </c>
      <c r="P54" s="62" t="s">
        <v>47</v>
      </c>
      <c r="Q54" s="62" t="s">
        <v>83</v>
      </c>
      <c r="R54" s="147"/>
      <c r="S54" s="62" t="s">
        <v>10</v>
      </c>
      <c r="T54" s="12" t="s">
        <v>30</v>
      </c>
      <c r="U54" s="12" t="s">
        <v>94</v>
      </c>
      <c r="V54" s="19" t="s">
        <v>92</v>
      </c>
      <c r="W54" s="12" t="s">
        <v>31</v>
      </c>
      <c r="X54" s="12" t="s">
        <v>32</v>
      </c>
      <c r="Y54" s="12" t="s">
        <v>95</v>
      </c>
      <c r="Z54" s="19" t="s">
        <v>29</v>
      </c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38"/>
      <c r="AQ54" s="139"/>
    </row>
    <row r="55" spans="1:43" ht="24.6" customHeight="1" thickBot="1" x14ac:dyDescent="0.3">
      <c r="A55" s="20" t="s">
        <v>55</v>
      </c>
      <c r="B55" s="20" t="s">
        <v>49</v>
      </c>
      <c r="C55" s="22" t="s">
        <v>50</v>
      </c>
      <c r="D55" s="53" t="s">
        <v>51</v>
      </c>
      <c r="E55" s="53" t="s">
        <v>52</v>
      </c>
      <c r="F55" s="54" t="s">
        <v>50</v>
      </c>
      <c r="G55" s="54" t="s">
        <v>51</v>
      </c>
      <c r="H55" s="54" t="s">
        <v>52</v>
      </c>
      <c r="I55" s="54" t="s">
        <v>53</v>
      </c>
      <c r="J55" s="74"/>
      <c r="K55" s="93" t="s">
        <v>7</v>
      </c>
      <c r="L55" s="94" t="s">
        <v>7</v>
      </c>
      <c r="M55" s="31"/>
      <c r="N55" s="20"/>
      <c r="O55" s="94"/>
      <c r="P55" s="20"/>
      <c r="Q55" s="20" t="s">
        <v>49</v>
      </c>
      <c r="R55" s="148"/>
      <c r="S55" s="120" t="s">
        <v>7</v>
      </c>
      <c r="T55" s="120" t="s">
        <v>6</v>
      </c>
      <c r="U55" s="1"/>
      <c r="V55" s="120" t="s">
        <v>6</v>
      </c>
      <c r="W55" s="120"/>
      <c r="X55" s="120" t="s">
        <v>6</v>
      </c>
      <c r="Y55" s="1"/>
      <c r="Z55" s="120" t="s">
        <v>6</v>
      </c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38"/>
      <c r="AQ55" s="139"/>
    </row>
    <row r="56" spans="1:43" ht="47.1" customHeight="1" thickBot="1" x14ac:dyDescent="0.3">
      <c r="A56" s="34"/>
      <c r="B56" s="35"/>
      <c r="C56" s="36"/>
      <c r="D56" s="36"/>
      <c r="E56" s="36"/>
      <c r="F56" s="151" t="s">
        <v>57</v>
      </c>
      <c r="G56" s="152"/>
      <c r="H56" s="152"/>
      <c r="I56" s="152"/>
      <c r="J56" s="61" t="s">
        <v>58</v>
      </c>
      <c r="K56" s="55" t="s">
        <v>63</v>
      </c>
      <c r="L56" s="28" t="s">
        <v>81</v>
      </c>
      <c r="M56" s="78" t="s">
        <v>66</v>
      </c>
      <c r="N56" s="79" t="s">
        <v>60</v>
      </c>
      <c r="O56" s="80" t="s">
        <v>42</v>
      </c>
      <c r="P56" s="77" t="s">
        <v>27</v>
      </c>
      <c r="Q56" s="25" t="s">
        <v>98</v>
      </c>
      <c r="R56" s="145"/>
      <c r="S56" s="28" t="s">
        <v>81</v>
      </c>
      <c r="T56" s="122" t="s">
        <v>91</v>
      </c>
      <c r="U56" s="131"/>
      <c r="V56" s="24" t="s">
        <v>93</v>
      </c>
      <c r="W56" s="25" t="s">
        <v>38</v>
      </c>
      <c r="X56" s="25" t="s">
        <v>37</v>
      </c>
      <c r="Y56" s="131"/>
      <c r="Z56" s="25" t="s">
        <v>36</v>
      </c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38"/>
      <c r="AQ56" s="139"/>
    </row>
    <row r="57" spans="1:43" ht="23.45" customHeight="1" thickTop="1" thickBot="1" x14ac:dyDescent="0.3">
      <c r="A57" s="44">
        <v>0</v>
      </c>
      <c r="B57" s="44">
        <v>18.569559830081673</v>
      </c>
      <c r="C57" s="71">
        <v>4.42</v>
      </c>
      <c r="D57" s="71">
        <v>4.41</v>
      </c>
      <c r="E57" s="71">
        <v>4.42</v>
      </c>
      <c r="F57" s="39">
        <f t="shared" ref="F57:F62" si="52">IF(OR(C57&lt;1, C57&gt;5),"OOR",0.4613*C57^4-4.5888*C57^3+17.011*C57^2-25.9*C57+20.428)</f>
        <v>18.101543229648048</v>
      </c>
      <c r="G57" s="39">
        <f t="shared" ref="G57:G62" si="53">IF(OR(D57&lt;1,D57&gt;5),"OOR",0.2369*D57^4-1.9212*D57^3+5.8786*D57^2-6.675*D57+8.7908)</f>
        <v>18.51013282100898</v>
      </c>
      <c r="H57" s="39">
        <f t="shared" ref="H57:H62" si="54">IF(OR(E57&lt;1,E57&gt;5),"OOR",0.6863*E57^4-7.1252*E57^3+27.31*E57^2-43.722*E57+31.447)</f>
        <v>18.408252622447943</v>
      </c>
      <c r="I57" s="39">
        <f t="shared" ref="I57:I62" si="55">IF(OR(F57="OOR",G57="OOR",H57="OOR"),"OOR",AVERAGE(F57:H57))</f>
        <v>18.339976224368325</v>
      </c>
      <c r="J57" s="58">
        <f t="shared" ref="J57:J62" si="56">IF(I57="OOR","OOR",I57/B57)</f>
        <v>0.98763656178099413</v>
      </c>
      <c r="K57" s="48">
        <f>ATAN(TAN($Q$18*PI()/180)/P57)*180/PI()</f>
        <v>3.5480304896105337</v>
      </c>
      <c r="L57" s="48">
        <f>ATAN(TAN($P$18*PI()/180)/P57)*180/PI()</f>
        <v>4.2878969066020849</v>
      </c>
      <c r="M57" s="48">
        <f>(SQRT(3/4)-SIN(L57*PI()/180))/(2*COS(L57*PI()/180)-1)</f>
        <v>0.7957117975484127</v>
      </c>
      <c r="N57" s="48">
        <f>M57*P57-M57*(P57-1)*$M$18</f>
        <v>0.98763721755672584</v>
      </c>
      <c r="O57" s="59">
        <f>(J57/N57)</f>
        <v>0.99999933601557323</v>
      </c>
      <c r="P57" s="48">
        <v>11.520914310722572</v>
      </c>
      <c r="Q57" s="107">
        <f>P57*B57</f>
        <v>213.93830759020696</v>
      </c>
      <c r="R57" s="109">
        <f t="shared" ref="R57:R62" si="57">(AVERAGE($Q$57:$Q$62)-Q57)/AVERAGE($Q$57:$Q$62)</f>
        <v>2.1145006843289953E-2</v>
      </c>
      <c r="S57" s="48">
        <f>ATAN(TAN(L57*PI()/180)*P57)*180/PI()</f>
        <v>40.820929884039394</v>
      </c>
      <c r="T57" s="42">
        <f>IF(S57&gt;45,(8*SIN((S57)*PI()/180)-(4*PI()/3))/(8*SIN((S57)*PI()/180)),(8*SIN((90-S57)*PI()/180)-(4*PI()/3))/(8*SIN((90-S57)*PI()/180)))</f>
        <v>0.30810121279869562</v>
      </c>
      <c r="U57" s="130">
        <f>T57/(1-T57)</f>
        <v>0.44529809633710943</v>
      </c>
      <c r="V57" s="132">
        <f>(($C$3/(1-$C$3))-(U57))/(($C$3/(1-$C$3))-($C$4/(1-$C$4)))</f>
        <v>0.830485893011772</v>
      </c>
      <c r="W57" s="130">
        <f>($C$3-T57)/($C$3-$C$4)</f>
        <v>0.77599908459555189</v>
      </c>
      <c r="X57" s="132">
        <f>$B$3-W57*($B$3-$B$4)</f>
        <v>0.36092764899909868</v>
      </c>
      <c r="Y57" s="130">
        <f>X57/(1-X57)</f>
        <v>0.56476805550079201</v>
      </c>
      <c r="Z57" s="132">
        <f>((($B$3/(1-$B$3))-(X57/(1-X57)))/(($B$3/(1-$B$3))-($B$4/(1-$B$4))))</f>
        <v>0.80950571911531743</v>
      </c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38"/>
      <c r="AQ57" s="139"/>
    </row>
    <row r="58" spans="1:43" ht="23.45" customHeight="1" thickTop="1" thickBot="1" x14ac:dyDescent="0.3">
      <c r="A58" s="44">
        <v>1</v>
      </c>
      <c r="B58" s="44">
        <v>15.771356330302298</v>
      </c>
      <c r="C58" s="71">
        <v>4.3</v>
      </c>
      <c r="D58" s="71">
        <v>4.29</v>
      </c>
      <c r="E58" s="71">
        <v>4.29</v>
      </c>
      <c r="F58" s="39">
        <f t="shared" si="52"/>
        <v>16.458958529999951</v>
      </c>
      <c r="G58" s="39">
        <f t="shared" si="53"/>
        <v>16.900368527488993</v>
      </c>
      <c r="H58" s="39">
        <f t="shared" si="54"/>
        <v>16.392767137902919</v>
      </c>
      <c r="I58" s="39">
        <f t="shared" si="55"/>
        <v>16.584031398463953</v>
      </c>
      <c r="J58" s="58">
        <f t="shared" si="56"/>
        <v>1.0515285465080908</v>
      </c>
      <c r="K58" s="48">
        <f t="shared" ref="K58:K62" si="58">ATAN(TAN($Q$18*PI()/180)/P58)*180/PI()</f>
        <v>2.8916501268475887</v>
      </c>
      <c r="L58" s="48">
        <f t="shared" ref="L58:L62" si="59">ATAN(TAN($P$18*PI()/180)/P58)*180/PI()</f>
        <v>3.4953340013473158</v>
      </c>
      <c r="M58" s="48">
        <f t="shared" ref="M58:M62" si="60">(SQRT(3/4)-SIN(L58*PI()/180))/(2*COS(L58*PI()/180)-1)</f>
        <v>0.80806452663743267</v>
      </c>
      <c r="N58" s="48">
        <f t="shared" ref="N58:N62" si="61">M58*P58-M58*(P58-1)*$M$18</f>
        <v>1.0515289142052424</v>
      </c>
      <c r="O58" s="59">
        <f t="shared" ref="O58:O62" si="62">(J58/N58)</f>
        <v>0.99999965032140659</v>
      </c>
      <c r="P58" s="48">
        <v>14.142142841458863</v>
      </c>
      <c r="Q58" s="107">
        <f t="shared" ref="Q58:Q62" si="63">P58*B58</f>
        <v>223.04077402668159</v>
      </c>
      <c r="R58" s="109">
        <f t="shared" si="57"/>
        <v>-2.0502488744323134E-2</v>
      </c>
      <c r="S58" s="48">
        <f t="shared" ref="S58:S62" si="64">ATAN(TAN(L58*PI()/180)*P58)*180/PI()</f>
        <v>40.820929884039387</v>
      </c>
      <c r="T58" s="42">
        <f t="shared" ref="T58:T62" si="65">IF(S58&gt;45,(8*SIN((S58)*PI()/180)-(4*PI()/3))/(8*SIN((S58)*PI()/180)),(8*SIN((90-S58)*PI()/180)-(4*PI()/3))/(8*SIN((90-S58)*PI()/180)))</f>
        <v>0.30810121279869562</v>
      </c>
      <c r="U58" s="130">
        <f t="shared" ref="U58:U62" si="66">T58/(1-T58)</f>
        <v>0.44529809633710943</v>
      </c>
      <c r="V58" s="132">
        <f t="shared" ref="V58:V62" si="67">(($C$3/(1-$C$3))-(U58))/(($C$3/(1-$C$3))-($C$4/(1-$C$4)))</f>
        <v>0.830485893011772</v>
      </c>
      <c r="W58" s="130">
        <f t="shared" ref="W58:W62" si="68">($C$3-T58)/($C$3-$C$4)</f>
        <v>0.77599908459555189</v>
      </c>
      <c r="X58" s="132">
        <f t="shared" ref="X58:X62" si="69">$B$3-W58*($B$3-$B$4)</f>
        <v>0.36092764899909868</v>
      </c>
      <c r="Y58" s="130">
        <f t="shared" ref="Y58:Y62" si="70">X58/(1-X58)</f>
        <v>0.56476805550079201</v>
      </c>
      <c r="Z58" s="132">
        <f t="shared" ref="Z58:Z62" si="71">((($B$3/(1-$B$3))-(X58/(1-X58)))/(($B$3/(1-$B$3))-($B$4/(1-$B$4))))</f>
        <v>0.80950571911531743</v>
      </c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38"/>
      <c r="AQ58" s="139"/>
    </row>
    <row r="59" spans="1:43" ht="23.45" customHeight="1" thickTop="1" thickBot="1" x14ac:dyDescent="0.3">
      <c r="A59" s="44">
        <v>2</v>
      </c>
      <c r="B59" s="44">
        <v>13.028019565812722</v>
      </c>
      <c r="C59" s="71">
        <v>4.13</v>
      </c>
      <c r="D59" s="71">
        <v>4.1399999999999997</v>
      </c>
      <c r="E59" s="71">
        <v>4.1500000000000004</v>
      </c>
      <c r="F59" s="39">
        <f t="shared" si="52"/>
        <v>14.567548155893039</v>
      </c>
      <c r="G59" s="39">
        <f t="shared" si="53"/>
        <v>15.181889452304009</v>
      </c>
      <c r="H59" s="39">
        <f t="shared" si="54"/>
        <v>14.651619089375</v>
      </c>
      <c r="I59" s="39">
        <f t="shared" si="55"/>
        <v>14.800352232524014</v>
      </c>
      <c r="J59" s="58">
        <f t="shared" si="56"/>
        <v>1.1360400679288303</v>
      </c>
      <c r="K59" s="48">
        <f t="shared" si="58"/>
        <v>2.2927339559195024</v>
      </c>
      <c r="L59" s="48">
        <f t="shared" si="59"/>
        <v>2.7717865983258982</v>
      </c>
      <c r="M59" s="48">
        <f t="shared" si="60"/>
        <v>0.81958518221417165</v>
      </c>
      <c r="N59" s="48">
        <f t="shared" si="61"/>
        <v>1.136040102189785</v>
      </c>
      <c r="O59" s="59">
        <f t="shared" si="62"/>
        <v>0.99999996984177353</v>
      </c>
      <c r="P59" s="48">
        <v>17.842033818347936</v>
      </c>
      <c r="Q59" s="107">
        <f t="shared" si="63"/>
        <v>232.44636567932918</v>
      </c>
      <c r="R59" s="109">
        <f t="shared" si="57"/>
        <v>-6.3536905798899299E-2</v>
      </c>
      <c r="S59" s="48">
        <f t="shared" si="64"/>
        <v>40.820929884039387</v>
      </c>
      <c r="T59" s="42">
        <f t="shared" si="65"/>
        <v>0.30810121279869562</v>
      </c>
      <c r="U59" s="130">
        <f t="shared" si="66"/>
        <v>0.44529809633710943</v>
      </c>
      <c r="V59" s="132">
        <f t="shared" si="67"/>
        <v>0.830485893011772</v>
      </c>
      <c r="W59" s="130">
        <f t="shared" si="68"/>
        <v>0.77599908459555189</v>
      </c>
      <c r="X59" s="132">
        <f t="shared" si="69"/>
        <v>0.36092764899909868</v>
      </c>
      <c r="Y59" s="130">
        <f t="shared" si="70"/>
        <v>0.56476805550079201</v>
      </c>
      <c r="Z59" s="132">
        <f t="shared" si="71"/>
        <v>0.80950571911531743</v>
      </c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38"/>
      <c r="AQ59" s="139"/>
    </row>
    <row r="60" spans="1:43" ht="23.45" customHeight="1" thickTop="1" thickBot="1" x14ac:dyDescent="0.3">
      <c r="A60" s="44">
        <v>3</v>
      </c>
      <c r="B60" s="44">
        <v>10.065215860163974</v>
      </c>
      <c r="C60" s="71">
        <v>3.78</v>
      </c>
      <c r="D60" s="71">
        <v>3.79</v>
      </c>
      <c r="E60" s="71">
        <v>3.77</v>
      </c>
      <c r="F60" s="39">
        <f t="shared" si="52"/>
        <v>11.922445086927983</v>
      </c>
      <c r="G60" s="39">
        <f t="shared" si="53"/>
        <v>12.222291124288994</v>
      </c>
      <c r="H60" s="39">
        <f t="shared" si="54"/>
        <v>11.619461423582973</v>
      </c>
      <c r="I60" s="39">
        <f t="shared" si="55"/>
        <v>11.921399211599983</v>
      </c>
      <c r="J60" s="58">
        <f t="shared" si="56"/>
        <v>1.1844156526023844</v>
      </c>
      <c r="K60" s="48">
        <f t="shared" si="58"/>
        <v>2.0413551353490904</v>
      </c>
      <c r="L60" s="48">
        <f t="shared" si="59"/>
        <v>2.4680097844780673</v>
      </c>
      <c r="M60" s="48">
        <f t="shared" si="60"/>
        <v>0.82449339341096251</v>
      </c>
      <c r="N60" s="48">
        <f t="shared" si="61"/>
        <v>1.1844156675360953</v>
      </c>
      <c r="O60" s="59">
        <f t="shared" si="62"/>
        <v>0.99999998739149498</v>
      </c>
      <c r="P60" s="48">
        <v>20.041375831262108</v>
      </c>
      <c r="Q60" s="107">
        <f t="shared" si="63"/>
        <v>201.72077387632632</v>
      </c>
      <c r="R60" s="109">
        <f t="shared" si="57"/>
        <v>7.7045205431380229E-2</v>
      </c>
      <c r="S60" s="48">
        <f t="shared" si="64"/>
        <v>40.820929884039387</v>
      </c>
      <c r="T60" s="42">
        <f t="shared" si="65"/>
        <v>0.30810121279869562</v>
      </c>
      <c r="U60" s="130">
        <f t="shared" si="66"/>
        <v>0.44529809633710943</v>
      </c>
      <c r="V60" s="132">
        <f t="shared" si="67"/>
        <v>0.830485893011772</v>
      </c>
      <c r="W60" s="130">
        <f t="shared" si="68"/>
        <v>0.77599908459555189</v>
      </c>
      <c r="X60" s="132">
        <f t="shared" si="69"/>
        <v>0.36092764899909868</v>
      </c>
      <c r="Y60" s="130">
        <f t="shared" si="70"/>
        <v>0.56476805550079201</v>
      </c>
      <c r="Z60" s="132">
        <f t="shared" si="71"/>
        <v>0.80950571911531743</v>
      </c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40"/>
      <c r="AQ60" s="141"/>
    </row>
    <row r="61" spans="1:43" ht="23.45" customHeight="1" thickTop="1" thickBot="1" x14ac:dyDescent="0.3">
      <c r="A61" s="44">
        <v>4</v>
      </c>
      <c r="B61" s="143">
        <v>7.3767458309641896</v>
      </c>
      <c r="C61" s="69">
        <v>3.35</v>
      </c>
      <c r="D61" s="69">
        <v>3.36</v>
      </c>
      <c r="E61" s="69">
        <v>3.34</v>
      </c>
      <c r="F61" s="39">
        <f t="shared" si="52"/>
        <v>10.149491433124968</v>
      </c>
      <c r="G61" s="39">
        <f t="shared" si="53"/>
        <v>10.046961019904</v>
      </c>
      <c r="H61" s="39">
        <f t="shared" si="54"/>
        <v>10.000371475567956</v>
      </c>
      <c r="I61" s="39">
        <f t="shared" si="55"/>
        <v>10.065607976198974</v>
      </c>
      <c r="J61" s="58">
        <f t="shared" si="56"/>
        <v>1.3645051906151051</v>
      </c>
      <c r="K61" s="48">
        <f t="shared" si="58"/>
        <v>1.434276475973524</v>
      </c>
      <c r="L61" s="48">
        <f t="shared" si="59"/>
        <v>1.7342199032229477</v>
      </c>
      <c r="M61" s="48">
        <f t="shared" si="60"/>
        <v>0.83652849878636493</v>
      </c>
      <c r="N61" s="48">
        <f t="shared" si="61"/>
        <v>1.3645053409959438</v>
      </c>
      <c r="O61" s="59">
        <f t="shared" si="62"/>
        <v>0.999999889790949</v>
      </c>
      <c r="P61" s="48">
        <v>28.53029810200935</v>
      </c>
      <c r="Q61" s="107">
        <f t="shared" si="63"/>
        <v>210.460757580163</v>
      </c>
      <c r="R61" s="109">
        <f t="shared" si="57"/>
        <v>3.7056216152302514E-2</v>
      </c>
      <c r="S61" s="48">
        <f t="shared" si="64"/>
        <v>40.820929884039387</v>
      </c>
      <c r="T61" s="42">
        <f t="shared" si="65"/>
        <v>0.30810121279869562</v>
      </c>
      <c r="U61" s="130">
        <f t="shared" si="66"/>
        <v>0.44529809633710943</v>
      </c>
      <c r="V61" s="132">
        <f t="shared" si="67"/>
        <v>0.830485893011772</v>
      </c>
      <c r="W61" s="130">
        <f t="shared" si="68"/>
        <v>0.77599908459555189</v>
      </c>
      <c r="X61" s="132">
        <f t="shared" si="69"/>
        <v>0.36092764899909868</v>
      </c>
      <c r="Y61" s="130">
        <f t="shared" si="70"/>
        <v>0.56476805550079201</v>
      </c>
      <c r="Z61" s="132">
        <f t="shared" si="71"/>
        <v>0.80950571911531743</v>
      </c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40"/>
      <c r="AQ61" s="141"/>
    </row>
    <row r="62" spans="1:43" ht="23.45" customHeight="1" thickTop="1" thickBot="1" x14ac:dyDescent="0.3">
      <c r="A62" s="44">
        <v>5</v>
      </c>
      <c r="B62" s="44">
        <v>4.47</v>
      </c>
      <c r="C62" s="71">
        <v>2.4900000000000002</v>
      </c>
      <c r="D62" s="71">
        <v>2.4700000000000002</v>
      </c>
      <c r="E62" s="71">
        <v>2.46</v>
      </c>
      <c r="F62" s="39">
        <f t="shared" si="52"/>
        <v>8.2968081054130103</v>
      </c>
      <c r="G62" s="39">
        <f t="shared" si="53"/>
        <v>8.0349598662890003</v>
      </c>
      <c r="H62" s="39">
        <f t="shared" si="54"/>
        <v>8.2212638877279822</v>
      </c>
      <c r="I62" s="39">
        <f t="shared" si="55"/>
        <v>8.1843439531433315</v>
      </c>
      <c r="J62" s="58">
        <f t="shared" si="56"/>
        <v>1.8309494302334075</v>
      </c>
      <c r="K62" s="48">
        <f t="shared" si="58"/>
        <v>0.79625289350353112</v>
      </c>
      <c r="L62" s="48">
        <f t="shared" si="59"/>
        <v>0.96283377240797452</v>
      </c>
      <c r="M62" s="48">
        <f t="shared" si="60"/>
        <v>0.84946145344176105</v>
      </c>
      <c r="N62" s="48">
        <f t="shared" si="61"/>
        <v>1.8309494702258817</v>
      </c>
      <c r="O62" s="59">
        <f t="shared" si="62"/>
        <v>0.99999997815752162</v>
      </c>
      <c r="P62" s="48">
        <v>51.398557470480007</v>
      </c>
      <c r="Q62" s="108">
        <f t="shared" si="63"/>
        <v>229.75155189304562</v>
      </c>
      <c r="R62" s="109">
        <f t="shared" si="57"/>
        <v>-5.1207033883749351E-2</v>
      </c>
      <c r="S62" s="48">
        <f t="shared" si="64"/>
        <v>40.820929884039387</v>
      </c>
      <c r="T62" s="42">
        <f t="shared" si="65"/>
        <v>0.30810121279869562</v>
      </c>
      <c r="U62" s="130">
        <f t="shared" si="66"/>
        <v>0.44529809633710943</v>
      </c>
      <c r="V62" s="132">
        <f t="shared" si="67"/>
        <v>0.830485893011772</v>
      </c>
      <c r="W62" s="130">
        <f t="shared" si="68"/>
        <v>0.77599908459555189</v>
      </c>
      <c r="X62" s="132">
        <f t="shared" si="69"/>
        <v>0.36092764899909868</v>
      </c>
      <c r="Y62" s="130">
        <f t="shared" si="70"/>
        <v>0.56476805550079201</v>
      </c>
      <c r="Z62" s="132">
        <f t="shared" si="71"/>
        <v>0.80950571911531743</v>
      </c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40"/>
      <c r="AQ62" s="141"/>
    </row>
    <row r="63" spans="1:43" ht="16.5" thickTop="1" x14ac:dyDescent="0.25">
      <c r="B63" s="7"/>
      <c r="C63" s="7"/>
      <c r="D63" s="67"/>
      <c r="E63" s="67"/>
      <c r="F63" s="68"/>
      <c r="G63" s="68"/>
      <c r="H63" s="68"/>
      <c r="I63" s="68"/>
      <c r="J63" s="68"/>
      <c r="K63" s="73"/>
      <c r="L63" s="32"/>
      <c r="M63" s="4"/>
      <c r="N63" s="4"/>
      <c r="P63" s="83" t="s">
        <v>54</v>
      </c>
      <c r="Q63" s="107" t="str">
        <f>ROUND(AVERAGE(Q57:Q62),2) &amp; " (" &amp;ROUND(STDEV(Q57:Q62),2)&amp; ")"</f>
        <v>218.56 (11.91)</v>
      </c>
      <c r="R63" s="134" t="str">
        <f>"+/-"&amp;TEXT(ROUND(STDEV(R57:R62),2),"0.0%")</f>
        <v>+/-5.0%</v>
      </c>
      <c r="S63" s="135"/>
      <c r="T63" s="135"/>
      <c r="U63" s="133"/>
      <c r="V63" s="135"/>
      <c r="W63" s="133"/>
      <c r="X63" s="135"/>
      <c r="Y63" s="133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40"/>
      <c r="AQ63" s="141"/>
    </row>
    <row r="64" spans="1:43" x14ac:dyDescent="0.25"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40"/>
      <c r="AQ64" s="141"/>
    </row>
    <row r="65" spans="1:43" ht="15.75" x14ac:dyDescent="0.25">
      <c r="A65" s="95" t="s">
        <v>80</v>
      </c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40"/>
      <c r="AQ65" s="141"/>
    </row>
    <row r="66" spans="1:43" ht="15.75" thickBot="1" x14ac:dyDescent="0.3"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40"/>
      <c r="AQ66" s="141"/>
    </row>
    <row r="67" spans="1:43" ht="30.6" customHeight="1" thickBot="1" x14ac:dyDescent="0.3">
      <c r="A67" s="154" t="s">
        <v>61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60" t="s">
        <v>70</v>
      </c>
      <c r="L67" s="161"/>
      <c r="M67" s="161"/>
      <c r="N67" s="161"/>
      <c r="O67" s="161"/>
      <c r="P67" s="161"/>
      <c r="Q67" s="161"/>
      <c r="R67" s="146" t="s">
        <v>48</v>
      </c>
      <c r="S67" s="120"/>
      <c r="T67" s="33"/>
      <c r="U67" s="33"/>
      <c r="V67" s="33"/>
      <c r="W67" s="33"/>
      <c r="X67" s="33"/>
      <c r="Y67" s="33"/>
      <c r="Z67" s="33"/>
      <c r="AA67" s="33"/>
      <c r="AB67" s="111"/>
      <c r="AC67" s="111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40"/>
      <c r="AQ67" s="141"/>
    </row>
    <row r="68" spans="1:43" ht="24.6" customHeight="1" x14ac:dyDescent="0.25">
      <c r="A68" s="144" t="s">
        <v>97</v>
      </c>
      <c r="B68" s="62" t="s">
        <v>85</v>
      </c>
      <c r="C68" s="149" t="s">
        <v>46</v>
      </c>
      <c r="D68" s="149"/>
      <c r="E68" s="149"/>
      <c r="F68" s="150" t="s">
        <v>84</v>
      </c>
      <c r="G68" s="150"/>
      <c r="H68" s="150"/>
      <c r="I68" s="150"/>
      <c r="J68" s="56" t="s">
        <v>59</v>
      </c>
      <c r="K68" s="62" t="s">
        <v>62</v>
      </c>
      <c r="L68" s="62" t="s">
        <v>64</v>
      </c>
      <c r="M68" s="62" t="s">
        <v>65</v>
      </c>
      <c r="N68" s="62" t="s">
        <v>59</v>
      </c>
      <c r="O68" s="33" t="s">
        <v>39</v>
      </c>
      <c r="P68" s="62" t="s">
        <v>47</v>
      </c>
      <c r="Q68" s="62" t="s">
        <v>83</v>
      </c>
      <c r="R68" s="147"/>
      <c r="S68" s="62" t="s">
        <v>10</v>
      </c>
      <c r="T68" s="12" t="s">
        <v>30</v>
      </c>
      <c r="U68" s="12" t="s">
        <v>94</v>
      </c>
      <c r="V68" s="19" t="s">
        <v>92</v>
      </c>
      <c r="W68" s="12" t="s">
        <v>31</v>
      </c>
      <c r="X68" s="12" t="s">
        <v>32</v>
      </c>
      <c r="Y68" s="12" t="s">
        <v>95</v>
      </c>
      <c r="Z68" s="19" t="s">
        <v>29</v>
      </c>
      <c r="AA68" s="33"/>
      <c r="AB68" s="111"/>
      <c r="AC68" s="111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40"/>
      <c r="AQ68" s="141"/>
    </row>
    <row r="69" spans="1:43" ht="24.6" customHeight="1" thickBot="1" x14ac:dyDescent="0.3">
      <c r="A69" s="20" t="s">
        <v>55</v>
      </c>
      <c r="B69" s="20" t="s">
        <v>49</v>
      </c>
      <c r="C69" s="22" t="s">
        <v>50</v>
      </c>
      <c r="D69" s="53" t="s">
        <v>51</v>
      </c>
      <c r="E69" s="53" t="s">
        <v>52</v>
      </c>
      <c r="F69" s="54" t="s">
        <v>50</v>
      </c>
      <c r="G69" s="54" t="s">
        <v>51</v>
      </c>
      <c r="H69" s="54" t="s">
        <v>52</v>
      </c>
      <c r="I69" s="54" t="s">
        <v>53</v>
      </c>
      <c r="J69" s="74"/>
      <c r="K69" s="66" t="s">
        <v>7</v>
      </c>
      <c r="L69" s="21" t="s">
        <v>7</v>
      </c>
      <c r="M69" s="31"/>
      <c r="N69" s="20"/>
      <c r="O69" s="21"/>
      <c r="P69" s="20"/>
      <c r="Q69" s="20" t="s">
        <v>49</v>
      </c>
      <c r="R69" s="148"/>
      <c r="S69" s="120" t="s">
        <v>7</v>
      </c>
      <c r="T69" s="120" t="s">
        <v>6</v>
      </c>
      <c r="U69" s="1"/>
      <c r="V69" s="120" t="s">
        <v>6</v>
      </c>
      <c r="W69" s="120"/>
      <c r="X69" s="120" t="s">
        <v>6</v>
      </c>
      <c r="Y69" s="1"/>
      <c r="Z69" s="120" t="s">
        <v>6</v>
      </c>
      <c r="AA69" s="33"/>
      <c r="AB69" s="111"/>
      <c r="AC69" s="111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40"/>
      <c r="AQ69" s="141"/>
    </row>
    <row r="70" spans="1:43" ht="47.1" customHeight="1" thickBot="1" x14ac:dyDescent="0.3">
      <c r="A70" s="34"/>
      <c r="B70" s="35"/>
      <c r="C70" s="36"/>
      <c r="D70" s="36"/>
      <c r="E70" s="36"/>
      <c r="F70" s="151" t="s">
        <v>57</v>
      </c>
      <c r="G70" s="152"/>
      <c r="H70" s="152"/>
      <c r="I70" s="152"/>
      <c r="J70" s="61" t="s">
        <v>58</v>
      </c>
      <c r="K70" s="55" t="s">
        <v>63</v>
      </c>
      <c r="L70" s="28" t="s">
        <v>81</v>
      </c>
      <c r="M70" s="78" t="s">
        <v>66</v>
      </c>
      <c r="N70" s="79" t="s">
        <v>60</v>
      </c>
      <c r="O70" s="80" t="s">
        <v>42</v>
      </c>
      <c r="P70" s="77" t="s">
        <v>27</v>
      </c>
      <c r="Q70" s="25" t="s">
        <v>98</v>
      </c>
      <c r="R70" s="145"/>
      <c r="S70" s="28" t="s">
        <v>81</v>
      </c>
      <c r="T70" s="122" t="s">
        <v>91</v>
      </c>
      <c r="U70" s="131"/>
      <c r="V70" s="24" t="s">
        <v>93</v>
      </c>
      <c r="W70" s="25" t="s">
        <v>38</v>
      </c>
      <c r="X70" s="25" t="s">
        <v>37</v>
      </c>
      <c r="Y70" s="131"/>
      <c r="Z70" s="25" t="s">
        <v>36</v>
      </c>
      <c r="AA70" s="33"/>
      <c r="AB70" s="111"/>
      <c r="AC70" s="111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40"/>
      <c r="AQ70" s="141"/>
    </row>
    <row r="71" spans="1:43" ht="23.45" customHeight="1" thickTop="1" thickBot="1" x14ac:dyDescent="0.3">
      <c r="A71" s="44">
        <v>0</v>
      </c>
      <c r="B71" s="44">
        <v>13.03</v>
      </c>
      <c r="C71" s="71">
        <v>4.54</v>
      </c>
      <c r="D71" s="71">
        <v>4.53</v>
      </c>
      <c r="E71" s="71">
        <v>4.53</v>
      </c>
      <c r="F71" s="39">
        <f>IF(OR(C71&lt;1, C71&gt;5),"OOR",0.4613*C71^4-4.5888*C71^3+17.011*C71^2-25.9*C71+20.428)</f>
        <v>20.039126405327995</v>
      </c>
      <c r="G71" s="39">
        <f>IF(OR(D71&lt;1,D71&gt;5),"OOR",0.2369*D71^4-1.9212*D71^3+5.8786*D71^2-6.675*D71+8.7908)</f>
        <v>20.353409377888966</v>
      </c>
      <c r="H71" s="39">
        <f>IF(OR(E71&lt;1,E71&gt;5),"OOR",0.6863*E71^4-7.1252*E71^3+27.31*E71^2-43.722*E71+31.447)</f>
        <v>20.461793692302958</v>
      </c>
      <c r="I71" s="39">
        <f>IF(OR(F71="OOR",G71="OOR",H71="OOR"),"OOR",AVERAGE(F71:H71))</f>
        <v>20.284776491839974</v>
      </c>
      <c r="J71" s="58">
        <f>IF(I71="OOR","OOR",I71/B71)</f>
        <v>1.556774865068302</v>
      </c>
      <c r="K71" s="48">
        <f>ATAN(TAN($Q$19*PI()/180)/P71)*180/PI()</f>
        <v>1.0955882365756533</v>
      </c>
      <c r="L71" s="48">
        <f>ATAN(TAN($P$19*PI()/180)/P71)*180/PI()</f>
        <v>1.4232767615578883</v>
      </c>
      <c r="M71" s="48">
        <f>(SQRT(3/4)-SIN(L71*PI()/180))/(2*COS(L71*PI()/180)-1)</f>
        <v>0.84170645672499311</v>
      </c>
      <c r="N71" s="48">
        <f>M71*P71-M71*(P71-1)*$M$19</f>
        <v>1.5567763531796288</v>
      </c>
      <c r="O71" s="59">
        <f>(J71/N71)</f>
        <v>0.99999904410718743</v>
      </c>
      <c r="P71" s="48">
        <v>40.008478470434682</v>
      </c>
      <c r="Q71" s="107">
        <f>P71*B71</f>
        <v>521.3104744697639</v>
      </c>
      <c r="R71" s="109">
        <f>(AVERAGE($Q$71:$Q$75)-Q71)/AVERAGE($Q$71:$Q$75)</f>
        <v>-8.0135509411438984E-3</v>
      </c>
      <c r="S71" s="48">
        <f>ATAN(TAN(L71*PI()/180)*P71)*180/PI()</f>
        <v>44.82902867091633</v>
      </c>
      <c r="T71" s="42">
        <f>IF(S71&gt;45,(8*SIN((S71)*PI()/180)-(4*PI()/3))/(8*SIN((S71)*PI()/180)),(8*SIN((90-S71)*PI()/180)-(4*PI()/3))/(8*SIN((90-S71)*PI()/180)))</f>
        <v>0.26171925913889899</v>
      </c>
      <c r="U71" s="130">
        <f>T71/(1-T71)</f>
        <v>0.35449828859634097</v>
      </c>
      <c r="V71" s="132">
        <f>(($C$3/(1-$C$3))-(U71))/(($C$3/(1-$C$3))-($C$4/(1-$C$4)))</f>
        <v>0.99280671542697652</v>
      </c>
      <c r="W71" s="130">
        <f>($C$3-T71)/($C$3-$C$4)</f>
        <v>0.9898573799036714</v>
      </c>
      <c r="X71" s="132">
        <f>$B$3-W71*($B$3-$B$4)</f>
        <v>0.33458278653360568</v>
      </c>
      <c r="Y71" s="130">
        <f>X71/(1-X71)</f>
        <v>0.50281654841876611</v>
      </c>
      <c r="Z71" s="132">
        <f>((($B$3/(1-$B$3))-(X71/(1-X71)))/(($B$3/(1-$B$3))-($B$4/(1-$B$4))))</f>
        <v>0.99171603406245235</v>
      </c>
      <c r="AA71" s="91"/>
      <c r="AB71" s="142"/>
      <c r="AC71" s="113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40"/>
      <c r="AQ71" s="141"/>
    </row>
    <row r="72" spans="1:43" ht="23.45" customHeight="1" thickTop="1" thickBot="1" x14ac:dyDescent="0.3">
      <c r="A72" s="44">
        <v>1</v>
      </c>
      <c r="B72" s="143">
        <v>10.07</v>
      </c>
      <c r="C72" s="69">
        <v>4.4000000000000004</v>
      </c>
      <c r="D72" s="69">
        <v>4.41</v>
      </c>
      <c r="E72" s="69">
        <v>4.4000000000000004</v>
      </c>
      <c r="F72" s="39">
        <f>IF(OR(C72&lt;1, C72&gt;5),"OOR",0.4613*C72^4-4.5888*C72^3+17.011*C72^2-25.9*C72+20.428)</f>
        <v>17.808289279999943</v>
      </c>
      <c r="G72" s="39">
        <f>IF(OR(D72&lt;1,D72&gt;5),"OOR",0.2369*D72^4-1.9212*D72^3+5.8786*D72^2-6.675*D72+8.7908)</f>
        <v>18.51013282100898</v>
      </c>
      <c r="H72" s="39">
        <f>IF(OR(E72&lt;1,E72&gt;5),"OOR",0.6863*E72^4-7.1252*E72^3+27.31*E72^2-43.722*E72+31.447)</f>
        <v>18.070591679999975</v>
      </c>
      <c r="I72" s="39">
        <f>IF(OR(F72="OOR",G72="OOR",H72="OOR"),"OOR",AVERAGE(F72:H72))</f>
        <v>18.129671260336298</v>
      </c>
      <c r="J72" s="58">
        <f>IF(I72="OOR","OOR",I72/B72)</f>
        <v>1.8003645740155212</v>
      </c>
      <c r="K72" s="48">
        <f>ATAN(TAN($Q$19*PI()/180)/P72)*180/PI()</f>
        <v>0.83286164762945003</v>
      </c>
      <c r="L72" s="48">
        <f>ATAN(TAN($P$19*PI()/180)/P72)*180/PI()</f>
        <v>1.0820073913801973</v>
      </c>
      <c r="M72" s="48">
        <f>(SQRT(3/4)-SIN(L72*PI()/180))/(2*COS(L72*PI()/180)-1)</f>
        <v>0.84744414787313471</v>
      </c>
      <c r="N72" s="48">
        <f>M72*P72-M72*(P72-1)*$M$19</f>
        <v>1.8003672229456313</v>
      </c>
      <c r="O72" s="59">
        <f>(J72/N72)</f>
        <v>0.99999852867233063</v>
      </c>
      <c r="P72" s="48">
        <v>52.631879322590407</v>
      </c>
      <c r="Q72" s="107">
        <f t="shared" ref="Q72:Q75" si="72">P72*B72</f>
        <v>530.00302477848538</v>
      </c>
      <c r="R72" s="109">
        <f>(AVERAGE($Q$71:$Q$75)-Q72)/AVERAGE($Q$71:$Q$75)</f>
        <v>-2.4821593235596365E-2</v>
      </c>
      <c r="S72" s="48">
        <f t="shared" ref="S72:S75" si="73">ATAN(TAN(L72*PI()/180)*P72)*180/PI()</f>
        <v>44.82902867091633</v>
      </c>
      <c r="T72" s="42">
        <f t="shared" ref="T72:T75" si="74">IF(S72&gt;45,(8*SIN((S72)*PI()/180)-(4*PI()/3))/(8*SIN((S72)*PI()/180)),(8*SIN((90-S72)*PI()/180)-(4*PI()/3))/(8*SIN((90-S72)*PI()/180)))</f>
        <v>0.26171925913889899</v>
      </c>
      <c r="U72" s="130">
        <f t="shared" ref="U72:U75" si="75">T72/(1-T72)</f>
        <v>0.35449828859634097</v>
      </c>
      <c r="V72" s="132">
        <f t="shared" ref="V72:V75" si="76">(($C$3/(1-$C$3))-(U72))/(($C$3/(1-$C$3))-($C$4/(1-$C$4)))</f>
        <v>0.99280671542697652</v>
      </c>
      <c r="W72" s="130">
        <f t="shared" ref="W72:W75" si="77">($C$3-T72)/($C$3-$C$4)</f>
        <v>0.9898573799036714</v>
      </c>
      <c r="X72" s="132">
        <f t="shared" ref="X72:X75" si="78">$B$3-W72*($B$3-$B$4)</f>
        <v>0.33458278653360568</v>
      </c>
      <c r="Y72" s="130">
        <f t="shared" ref="Y72:Y75" si="79">X72/(1-X72)</f>
        <v>0.50281654841876611</v>
      </c>
      <c r="Z72" s="132">
        <f t="shared" ref="Z72:Z75" si="80">((($B$3/(1-$B$3))-(X72/(1-X72)))/(($B$3/(1-$B$3))-($B$4/(1-$B$4))))</f>
        <v>0.99171603406245235</v>
      </c>
      <c r="AA72" s="91"/>
      <c r="AB72" s="142"/>
      <c r="AC72" s="113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40"/>
      <c r="AQ72" s="141"/>
    </row>
    <row r="73" spans="1:43" ht="23.45" customHeight="1" thickTop="1" thickBot="1" x14ac:dyDescent="0.3">
      <c r="A73" s="44">
        <v>2</v>
      </c>
      <c r="B73" s="44">
        <v>7.38</v>
      </c>
      <c r="C73" s="71">
        <v>4.1900000000000004</v>
      </c>
      <c r="D73" s="71">
        <v>4.18</v>
      </c>
      <c r="E73" s="71">
        <v>4.17</v>
      </c>
      <c r="F73" s="39">
        <f t="shared" ref="F73:F75" si="81">IF(OR(C73&lt;1, C73&gt;5),"OOR",0.4613*C73^4-4.5888*C73^3+17.011*C73^2-25.9*C73+20.428)</f>
        <v>15.181757718773031</v>
      </c>
      <c r="G73" s="39">
        <f t="shared" ref="G73:G75" si="82">IF(OR(D73&lt;1,D73&gt;5),"OOR",0.2369*D73^4-1.9212*D73^3+5.8786*D73^2-6.675*D73+8.7908)</f>
        <v>15.610375702543973</v>
      </c>
      <c r="H73" s="39">
        <f t="shared" ref="H73:H75" si="83">IF(OR(E73&lt;1,E73&gt;5),"OOR",0.6863*E73^4-7.1252*E73^3+27.31*E73^2-43.722*E73+31.447)</f>
        <v>14.875830127422883</v>
      </c>
      <c r="I73" s="39">
        <f>IF(OR(F73="OOR",G73="OOR",H73="OOR"),"OOR",AVERAGE(F73:H73))</f>
        <v>15.22265451624663</v>
      </c>
      <c r="J73" s="58">
        <f>IF(I73="OOR","OOR",I73/B73)</f>
        <v>2.0626903138545569</v>
      </c>
      <c r="K73" s="48">
        <f t="shared" ref="K73:K75" si="84">ATAN(TAN($Q$19*PI()/180)/P73)*180/PI()</f>
        <v>0.66070613533238831</v>
      </c>
      <c r="L73" s="48">
        <f t="shared" ref="L73:L75" si="85">ATAN(TAN($P$19*PI()/180)/P73)*180/PI()</f>
        <v>0.85836796783285862</v>
      </c>
      <c r="M73" s="48">
        <f t="shared" ref="M73:M75" si="86">(SQRT(3/4)-SIN(L73*PI()/180))/(2*COS(L73*PI()/180)-1)</f>
        <v>0.8512356653605313</v>
      </c>
      <c r="N73" s="48">
        <f t="shared" ref="N73:N75" si="87">M73*P73-M73*(P73-1)*$M$19</f>
        <v>2.0626920844431282</v>
      </c>
      <c r="O73" s="59">
        <f t="shared" ref="O73:O75" si="88">(J73/N73)</f>
        <v>0.99999914161275705</v>
      </c>
      <c r="P73" s="48">
        <v>66.347527220293387</v>
      </c>
      <c r="Q73" s="107">
        <f t="shared" si="72"/>
        <v>489.64475088576518</v>
      </c>
      <c r="R73" s="109">
        <f>(AVERAGE($Q$71:$Q$75)-Q73)/AVERAGE($Q$71:$Q$75)</f>
        <v>5.3215754887581818E-2</v>
      </c>
      <c r="S73" s="48">
        <f t="shared" si="73"/>
        <v>44.82902867091633</v>
      </c>
      <c r="T73" s="42">
        <f t="shared" si="74"/>
        <v>0.26171925913889899</v>
      </c>
      <c r="U73" s="130">
        <f t="shared" si="75"/>
        <v>0.35449828859634097</v>
      </c>
      <c r="V73" s="132">
        <f t="shared" si="76"/>
        <v>0.99280671542697652</v>
      </c>
      <c r="W73" s="130">
        <f t="shared" si="77"/>
        <v>0.9898573799036714</v>
      </c>
      <c r="X73" s="132">
        <f t="shared" si="78"/>
        <v>0.33458278653360568</v>
      </c>
      <c r="Y73" s="130">
        <f t="shared" si="79"/>
        <v>0.50281654841876611</v>
      </c>
      <c r="Z73" s="132">
        <f t="shared" si="80"/>
        <v>0.99171603406245235</v>
      </c>
      <c r="AA73" s="91"/>
      <c r="AB73" s="142"/>
      <c r="AC73" s="113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40"/>
      <c r="AQ73" s="141"/>
    </row>
    <row r="74" spans="1:43" ht="23.45" customHeight="1" thickTop="1" thickBot="1" x14ac:dyDescent="0.3">
      <c r="A74" s="44">
        <v>3</v>
      </c>
      <c r="B74" s="44">
        <v>4.47</v>
      </c>
      <c r="C74" s="71">
        <v>4.0199999999999996</v>
      </c>
      <c r="D74" s="71">
        <v>3.98</v>
      </c>
      <c r="E74" s="71">
        <v>4.0199999999999996</v>
      </c>
      <c r="F74" s="39">
        <f t="shared" si="81"/>
        <v>13.576482489807962</v>
      </c>
      <c r="G74" s="39">
        <f t="shared" si="82"/>
        <v>13.664559724304009</v>
      </c>
      <c r="H74" s="39">
        <f t="shared" si="83"/>
        <v>13.37093191460789</v>
      </c>
      <c r="I74" s="39">
        <f>IF(OR(F74="OOR",G74="OOR",H74="OOR"),"OOR",AVERAGE(F74:H74))</f>
        <v>13.537324709573289</v>
      </c>
      <c r="J74" s="58">
        <f>IF(I74="OOR","OOR",I74/B74)</f>
        <v>3.0284842750723242</v>
      </c>
      <c r="K74" s="48">
        <f t="shared" si="84"/>
        <v>0.3739447459002268</v>
      </c>
      <c r="L74" s="48">
        <f t="shared" si="85"/>
        <v>0.4858269453724548</v>
      </c>
      <c r="M74" s="48">
        <f t="shared" si="86"/>
        <v>0.85760788568154667</v>
      </c>
      <c r="N74" s="48">
        <f t="shared" si="87"/>
        <v>3.0284877653730007</v>
      </c>
      <c r="O74" s="59">
        <f t="shared" si="88"/>
        <v>0.99999884751039236</v>
      </c>
      <c r="P74" s="48">
        <v>117.22999048101158</v>
      </c>
      <c r="Q74" s="107">
        <f t="shared" si="72"/>
        <v>524.01805745012177</v>
      </c>
      <c r="R74" s="109">
        <f>(AVERAGE($Q$71:$Q$75)-Q74)/AVERAGE($Q$71:$Q$75)</f>
        <v>-1.3248972955777982E-2</v>
      </c>
      <c r="S74" s="48">
        <f t="shared" si="73"/>
        <v>44.82902867091633</v>
      </c>
      <c r="T74" s="42">
        <f t="shared" si="74"/>
        <v>0.26171925913889899</v>
      </c>
      <c r="U74" s="130">
        <f t="shared" si="75"/>
        <v>0.35449828859634097</v>
      </c>
      <c r="V74" s="132">
        <f t="shared" si="76"/>
        <v>0.99280671542697652</v>
      </c>
      <c r="W74" s="130">
        <f t="shared" si="77"/>
        <v>0.9898573799036714</v>
      </c>
      <c r="X74" s="132">
        <f t="shared" si="78"/>
        <v>0.33458278653360568</v>
      </c>
      <c r="Y74" s="130">
        <f t="shared" si="79"/>
        <v>0.50281654841876611</v>
      </c>
      <c r="Z74" s="132">
        <f t="shared" si="80"/>
        <v>0.99171603406245235</v>
      </c>
      <c r="AA74" s="91"/>
      <c r="AB74" s="91"/>
      <c r="AC74" s="82"/>
      <c r="AP74" s="140"/>
      <c r="AQ74" s="141"/>
    </row>
    <row r="75" spans="1:43" ht="23.45" customHeight="1" thickTop="1" thickBot="1" x14ac:dyDescent="0.3">
      <c r="A75" s="44">
        <v>4</v>
      </c>
      <c r="B75" s="44">
        <v>1.73</v>
      </c>
      <c r="C75" s="71">
        <v>3.66</v>
      </c>
      <c r="D75" s="71">
        <v>3.64</v>
      </c>
      <c r="E75" s="71">
        <v>3.67</v>
      </c>
      <c r="F75" s="39">
        <f t="shared" si="81"/>
        <v>11.303982869968014</v>
      </c>
      <c r="G75" s="39">
        <f t="shared" si="82"/>
        <v>11.314464975103981</v>
      </c>
      <c r="H75" s="39">
        <f t="shared" si="83"/>
        <v>11.120686638622939</v>
      </c>
      <c r="I75" s="39">
        <f>IF(OR(F75="OOR",G75="OOR",H75="OOR"),"OOR",AVERAGE(F75:H75))</f>
        <v>11.246378161231645</v>
      </c>
      <c r="J75" s="58">
        <f>IF(I75="OOR","OOR",I75/B75)</f>
        <v>6.5007966249893903</v>
      </c>
      <c r="K75" s="48">
        <f t="shared" si="84"/>
        <v>0.14560664001795515</v>
      </c>
      <c r="L75" s="48">
        <f t="shared" si="85"/>
        <v>0.18917290888445362</v>
      </c>
      <c r="M75" s="48">
        <f t="shared" si="86"/>
        <v>0.86273312444876338</v>
      </c>
      <c r="N75" s="48">
        <f t="shared" si="87"/>
        <v>6.5008051536123901</v>
      </c>
      <c r="O75" s="59">
        <f t="shared" si="88"/>
        <v>0.99999868806666281</v>
      </c>
      <c r="P75" s="48">
        <v>301.07189527971065</v>
      </c>
      <c r="Q75" s="107">
        <f t="shared" si="72"/>
        <v>520.85437883389943</v>
      </c>
      <c r="R75" s="109">
        <f>(AVERAGE($Q$71:$Q$75)-Q75)/AVERAGE($Q$71:$Q$75)</f>
        <v>-7.1316377550639E-3</v>
      </c>
      <c r="S75" s="48">
        <f t="shared" si="73"/>
        <v>44.829028670916315</v>
      </c>
      <c r="T75" s="42">
        <f t="shared" si="74"/>
        <v>0.26171925913889921</v>
      </c>
      <c r="U75" s="130">
        <f t="shared" si="75"/>
        <v>0.35449828859634136</v>
      </c>
      <c r="V75" s="132">
        <f t="shared" si="76"/>
        <v>0.99280671542697596</v>
      </c>
      <c r="W75" s="130">
        <f t="shared" si="77"/>
        <v>0.9898573799036704</v>
      </c>
      <c r="X75" s="132">
        <f t="shared" si="78"/>
        <v>0.33458278653360579</v>
      </c>
      <c r="Y75" s="130">
        <f t="shared" si="79"/>
        <v>0.50281654841876633</v>
      </c>
      <c r="Z75" s="132">
        <f t="shared" si="80"/>
        <v>0.99171603406245168</v>
      </c>
      <c r="AA75" s="91"/>
      <c r="AB75" s="91"/>
      <c r="AC75" s="82"/>
      <c r="AP75" s="140"/>
      <c r="AQ75" s="141"/>
    </row>
    <row r="76" spans="1:43" ht="23.45" customHeight="1" thickTop="1" x14ac:dyDescent="0.25">
      <c r="B76" s="7"/>
      <c r="C76" s="7"/>
      <c r="D76" s="67"/>
      <c r="E76" s="67"/>
      <c r="F76" s="68"/>
      <c r="G76" s="68"/>
      <c r="H76" s="68"/>
      <c r="I76" s="68"/>
      <c r="J76" s="68"/>
      <c r="K76" s="73"/>
      <c r="L76" s="32"/>
      <c r="M76" s="4"/>
      <c r="N76" s="4"/>
      <c r="P76" s="83" t="s">
        <v>54</v>
      </c>
      <c r="Q76" s="108" t="str">
        <f>ROUND(AVERAGE(Q71:Q75),2) &amp; " (" &amp;ROUND(STDEV(Q71:Q75),2)&amp; ")"</f>
        <v>517.17 (15.81)</v>
      </c>
      <c r="R76" s="134" t="str">
        <f>"+/-"&amp;TEXT(ROUND(STDEV(R71:R75),2),"0.0%")</f>
        <v>+/-3.0%</v>
      </c>
      <c r="S76" s="135"/>
      <c r="T76" s="135"/>
      <c r="U76" s="133"/>
      <c r="V76" s="135"/>
      <c r="W76" s="133"/>
      <c r="X76" s="135"/>
      <c r="Y76" s="133"/>
      <c r="Z76" s="85"/>
      <c r="AA76" s="85"/>
      <c r="AB76" s="85"/>
      <c r="AC76" s="85"/>
      <c r="AD76" s="85"/>
      <c r="AP76" s="140"/>
      <c r="AQ76" s="141"/>
    </row>
    <row r="77" spans="1:43" ht="15.75" x14ac:dyDescent="0.25">
      <c r="AA77" s="82"/>
      <c r="AB77" s="82"/>
      <c r="AC77" s="82"/>
      <c r="AP77" s="140"/>
      <c r="AQ77" s="141"/>
    </row>
    <row r="78" spans="1:43" x14ac:dyDescent="0.25">
      <c r="AP78" s="140"/>
      <c r="AQ78" s="141"/>
    </row>
    <row r="79" spans="1:43" x14ac:dyDescent="0.25">
      <c r="AP79" s="140"/>
      <c r="AQ79" s="141"/>
    </row>
    <row r="80" spans="1:43" x14ac:dyDescent="0.25">
      <c r="AP80" s="140"/>
      <c r="AQ80" s="141"/>
    </row>
  </sheetData>
  <mergeCells count="32">
    <mergeCell ref="F70:I70"/>
    <mergeCell ref="R67:R69"/>
    <mergeCell ref="O13:O14"/>
    <mergeCell ref="K38:Q38"/>
    <mergeCell ref="L24:Q24"/>
    <mergeCell ref="A67:J67"/>
    <mergeCell ref="K67:Q67"/>
    <mergeCell ref="C68:E68"/>
    <mergeCell ref="F68:I68"/>
    <mergeCell ref="C39:E39"/>
    <mergeCell ref="F41:I41"/>
    <mergeCell ref="F39:I39"/>
    <mergeCell ref="A38:J38"/>
    <mergeCell ref="R38:R40"/>
    <mergeCell ref="R24:R26"/>
    <mergeCell ref="C25:E25"/>
    <mergeCell ref="A24:K24"/>
    <mergeCell ref="G7:I7"/>
    <mergeCell ref="A53:J53"/>
    <mergeCell ref="K53:Q53"/>
    <mergeCell ref="F3:I3"/>
    <mergeCell ref="G8:I8"/>
    <mergeCell ref="G4:I4"/>
    <mergeCell ref="G5:I5"/>
    <mergeCell ref="G6:I6"/>
    <mergeCell ref="G9:I9"/>
    <mergeCell ref="R53:R55"/>
    <mergeCell ref="C54:E54"/>
    <mergeCell ref="F54:I54"/>
    <mergeCell ref="F56:I56"/>
    <mergeCell ref="F25:I25"/>
    <mergeCell ref="F27:I27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Rosales</dc:creator>
  <cp:lastModifiedBy>Sergio Rosales</cp:lastModifiedBy>
  <dcterms:created xsi:type="dcterms:W3CDTF">2021-03-31T14:28:53Z</dcterms:created>
  <dcterms:modified xsi:type="dcterms:W3CDTF">2021-06-25T10:43:03Z</dcterms:modified>
</cp:coreProperties>
</file>